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60" windowWidth="28800" windowHeight="15800" activeTab="0"/>
  </bookViews>
  <sheets>
    <sheet name="FND" sheetId="1" r:id="rId1"/>
    <sheet name="FAD" sheetId="2" r:id="rId2"/>
    <sheet name="LAD" sheetId="3" r:id="rId3"/>
  </sheets>
  <definedNames/>
  <calcPr fullCalcOnLoad="1"/>
</workbook>
</file>

<file path=xl/sharedStrings.xml><?xml version="1.0" encoding="utf-8"?>
<sst xmlns="http://schemas.openxmlformats.org/spreadsheetml/2006/main" count="116" uniqueCount="46">
  <si>
    <t>Acid Detergent Fiber - As-Received</t>
  </si>
  <si>
    <t>Study Number:</t>
  </si>
  <si>
    <t>Analyst:</t>
  </si>
  <si>
    <t xml:space="preserve">            NOTE:  SD and Avg columns used when multiple replicates are run</t>
  </si>
  <si>
    <t>Sample</t>
  </si>
  <si>
    <t>Final</t>
  </si>
  <si>
    <t>ID</t>
  </si>
  <si>
    <t>Description</t>
  </si>
  <si>
    <t>Bag #</t>
  </si>
  <si>
    <t>Bag Weight</t>
  </si>
  <si>
    <t>Neutral Detergent Fiber - As-Received</t>
  </si>
  <si>
    <t>Formulae will have to be inserted as needed</t>
  </si>
  <si>
    <t>Blank Bag</t>
  </si>
  <si>
    <t>Date:</t>
  </si>
  <si>
    <t>A</t>
  </si>
  <si>
    <t>B</t>
  </si>
  <si>
    <t>B/A</t>
  </si>
  <si>
    <t xml:space="preserve">Muestra </t>
  </si>
  <si>
    <t>fresca</t>
  </si>
  <si>
    <t>MS</t>
  </si>
  <si>
    <t>%</t>
  </si>
  <si>
    <t>Muestra</t>
  </si>
  <si>
    <t>Grasa</t>
  </si>
  <si>
    <t>Cenizas</t>
  </si>
  <si>
    <t>sin cenizas</t>
  </si>
  <si>
    <t>FAD %</t>
  </si>
  <si>
    <t>con cenizas</t>
  </si>
  <si>
    <t>media</t>
  </si>
  <si>
    <t>desvest</t>
  </si>
  <si>
    <t>FND %</t>
  </si>
  <si>
    <t>Bolsa</t>
  </si>
  <si>
    <t>peso</t>
  </si>
  <si>
    <t>Peso bolsa</t>
  </si>
  <si>
    <t>Final FND</t>
  </si>
  <si>
    <t>seca sin grasa</t>
  </si>
  <si>
    <t>seca con grasa</t>
  </si>
  <si>
    <t>LAD %</t>
  </si>
  <si>
    <t>con ceniza</t>
  </si>
  <si>
    <t>B50</t>
  </si>
  <si>
    <t>F50</t>
  </si>
  <si>
    <t>F70</t>
  </si>
  <si>
    <t>F90</t>
  </si>
  <si>
    <t>M50</t>
  </si>
  <si>
    <t>M70</t>
  </si>
  <si>
    <t>M90</t>
  </si>
  <si>
    <t>(Mufla-crisol/ms)*100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</si>
</sst>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"/>
    <numFmt numFmtId="182" formatCode="0.000000"/>
    <numFmt numFmtId="183" formatCode="0.00000"/>
    <numFmt numFmtId="184" formatCode="0.000"/>
    <numFmt numFmtId="185" formatCode="0.0"/>
    <numFmt numFmtId="186" formatCode="#,##0.0000;[Red]\(#,##0.0000"/>
    <numFmt numFmtId="187" formatCode="0.0000;[Red]0.0000"/>
    <numFmt numFmtId="188" formatCode="#,##0.0"/>
    <numFmt numFmtId="189" formatCode="#,##0.0000"/>
  </numFmts>
  <fonts count="57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8"/>
      <name val="Times New Roman"/>
      <family val="1"/>
    </font>
    <font>
      <sz val="12"/>
      <name val="Arial Black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 Narrow"/>
      <family val="2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 Narrow"/>
      <family val="2"/>
    </font>
    <font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4" fontId="7" fillId="0" borderId="11" xfId="0" applyNumberFormat="1" applyFont="1" applyBorder="1" applyAlignment="1">
      <alignment horizontal="left"/>
    </xf>
    <xf numFmtId="15" fontId="5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180" fontId="1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180" fontId="1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180" fontId="14" fillId="0" borderId="0" xfId="0" applyNumberFormat="1" applyFont="1" applyAlignment="1">
      <alignment horizontal="center"/>
    </xf>
    <xf numFmtId="180" fontId="14" fillId="33" borderId="12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9" fontId="11" fillId="34" borderId="18" xfId="55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9" fontId="11" fillId="34" borderId="20" xfId="55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/>
    </xf>
    <xf numFmtId="9" fontId="11" fillId="35" borderId="18" xfId="55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9" fontId="11" fillId="35" borderId="20" xfId="55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180" fontId="1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80" fontId="16" fillId="36" borderId="0" xfId="0" applyNumberFormat="1" applyFont="1" applyFill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17" fillId="6" borderId="0" xfId="0" applyNumberFormat="1" applyFont="1" applyFill="1" applyAlignment="1">
      <alignment horizontal="righ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4" fillId="7" borderId="12" xfId="0" applyFont="1" applyFill="1" applyBorder="1" applyAlignment="1">
      <alignment/>
    </xf>
    <xf numFmtId="186" fontId="14" fillId="7" borderId="12" xfId="0" applyNumberFormat="1" applyFont="1" applyFill="1" applyBorder="1" applyAlignment="1">
      <alignment/>
    </xf>
    <xf numFmtId="2" fontId="14" fillId="7" borderId="12" xfId="0" applyNumberFormat="1" applyFont="1" applyFill="1" applyBorder="1" applyAlignment="1">
      <alignment/>
    </xf>
    <xf numFmtId="2" fontId="14" fillId="7" borderId="12" xfId="0" applyNumberFormat="1" applyFont="1" applyFill="1" applyBorder="1" applyAlignment="1">
      <alignment horizontal="right"/>
    </xf>
    <xf numFmtId="2" fontId="55" fillId="37" borderId="0" xfId="0" applyNumberFormat="1" applyFont="1" applyFill="1" applyAlignment="1">
      <alignment horizontal="right"/>
    </xf>
    <xf numFmtId="180" fontId="17" fillId="6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11" fillId="35" borderId="14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2" fontId="55" fillId="38" borderId="0" xfId="0" applyNumberFormat="1" applyFont="1" applyFill="1" applyAlignment="1">
      <alignment horizontal="right"/>
    </xf>
    <xf numFmtId="2" fontId="14" fillId="28" borderId="12" xfId="0" applyNumberFormat="1" applyFont="1" applyFill="1" applyBorder="1" applyAlignment="1">
      <alignment horizontal="right"/>
    </xf>
    <xf numFmtId="0" fontId="14" fillId="28" borderId="12" xfId="0" applyFont="1" applyFill="1" applyBorder="1" applyAlignment="1">
      <alignment horizontal="right"/>
    </xf>
    <xf numFmtId="0" fontId="14" fillId="28" borderId="13" xfId="0" applyFont="1" applyFill="1" applyBorder="1" applyAlignment="1">
      <alignment horizontal="right"/>
    </xf>
    <xf numFmtId="0" fontId="11" fillId="35" borderId="22" xfId="0" applyFont="1" applyFill="1" applyBorder="1" applyAlignment="1">
      <alignment horizontal="center"/>
    </xf>
    <xf numFmtId="2" fontId="14" fillId="28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23" xfId="0" applyFill="1" applyBorder="1" applyAlignment="1">
      <alignment/>
    </xf>
    <xf numFmtId="180" fontId="11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14" fillId="0" borderId="23" xfId="0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55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right"/>
    </xf>
    <xf numFmtId="0" fontId="14" fillId="28" borderId="24" xfId="0" applyFont="1" applyFill="1" applyBorder="1" applyAlignment="1">
      <alignment horizontal="right"/>
    </xf>
    <xf numFmtId="2" fontId="14" fillId="28" borderId="2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80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55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485775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409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104775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76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104775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76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3"/>
  <sheetViews>
    <sheetView tabSelected="1" zoomScalePageLayoutView="0" workbookViewId="0" topLeftCell="A8">
      <selection activeCell="J34" sqref="J34"/>
    </sheetView>
  </sheetViews>
  <sheetFormatPr defaultColWidth="8.8515625" defaultRowHeight="12.75"/>
  <cols>
    <col min="1" max="1" width="20.28125" style="0" customWidth="1"/>
    <col min="2" max="2" width="17.140625" style="0" customWidth="1"/>
    <col min="3" max="3" width="6.421875" style="0" bestFit="1" customWidth="1"/>
    <col min="4" max="6" width="10.421875" style="0" customWidth="1"/>
    <col min="7" max="7" width="14.140625" style="0" customWidth="1"/>
    <col min="8" max="8" width="10.421875" style="0" customWidth="1"/>
    <col min="9" max="9" width="16.7109375" style="0" customWidth="1"/>
    <col min="10" max="11" width="16.140625" style="0" customWidth="1"/>
    <col min="12" max="12" width="17.8515625" style="0" customWidth="1"/>
    <col min="13" max="14" width="13.00390625" style="0" customWidth="1"/>
    <col min="15" max="15" width="11.28125" style="0" customWidth="1"/>
  </cols>
  <sheetData>
    <row r="5" spans="1:16" ht="24.75" thickBot="1">
      <c r="A5" s="1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4"/>
      <c r="P5" s="5"/>
    </row>
    <row r="6" spans="13:16" ht="13.5" thickTop="1">
      <c r="M6" s="5"/>
      <c r="N6" s="5"/>
      <c r="O6" s="5"/>
      <c r="P6" s="5"/>
    </row>
    <row r="7" spans="3:16" ht="15.75">
      <c r="C7" s="6"/>
      <c r="D7" s="7"/>
      <c r="E7" s="7"/>
      <c r="F7" s="7"/>
      <c r="G7" s="7"/>
      <c r="H7" s="7"/>
      <c r="J7" s="8"/>
      <c r="K7" s="8"/>
      <c r="M7" s="9"/>
      <c r="N7" s="9"/>
      <c r="O7" s="10"/>
      <c r="P7" s="5"/>
    </row>
    <row r="8" spans="1:16" ht="19.5">
      <c r="A8" s="11" t="s">
        <v>1</v>
      </c>
      <c r="B8" s="12"/>
      <c r="C8" s="13"/>
      <c r="D8" s="7"/>
      <c r="E8" s="7"/>
      <c r="F8" s="7"/>
      <c r="G8" s="7"/>
      <c r="H8" s="7"/>
      <c r="J8" s="14"/>
      <c r="K8" s="14"/>
      <c r="L8" s="15"/>
      <c r="M8" s="16"/>
      <c r="N8" s="16"/>
      <c r="O8" s="5"/>
      <c r="P8" s="5"/>
    </row>
    <row r="9" spans="1:16" ht="19.5">
      <c r="A9" s="11" t="s">
        <v>13</v>
      </c>
      <c r="B9" s="12"/>
      <c r="D9" s="17"/>
      <c r="E9" s="17"/>
      <c r="F9" s="17"/>
      <c r="G9" s="17"/>
      <c r="H9" s="17"/>
      <c r="I9" s="18"/>
      <c r="J9" s="22" t="s">
        <v>3</v>
      </c>
      <c r="K9" s="22"/>
      <c r="M9" s="16"/>
      <c r="N9" s="16"/>
      <c r="O9" s="5"/>
      <c r="P9" s="5"/>
    </row>
    <row r="10" spans="1:16" ht="19.5">
      <c r="A10" s="11" t="s">
        <v>2</v>
      </c>
      <c r="B10" s="12"/>
      <c r="D10" s="17"/>
      <c r="E10" s="17"/>
      <c r="F10" s="17"/>
      <c r="G10" s="17"/>
      <c r="H10" s="17"/>
      <c r="I10" s="19"/>
      <c r="J10" s="24" t="s">
        <v>11</v>
      </c>
      <c r="K10" s="24"/>
      <c r="O10" s="5"/>
      <c r="P10" s="5"/>
    </row>
    <row r="11" spans="4:16" ht="15.75">
      <c r="D11" s="17"/>
      <c r="E11" s="17"/>
      <c r="F11" s="17"/>
      <c r="G11" s="17"/>
      <c r="H11" s="17"/>
      <c r="I11" s="19"/>
      <c r="J11" s="21"/>
      <c r="K11" s="21"/>
      <c r="M11" s="33" t="s">
        <v>45</v>
      </c>
      <c r="N11" s="33"/>
      <c r="P11" s="5"/>
    </row>
    <row r="12" spans="1:16" ht="16.5" thickBot="1">
      <c r="A12" s="7"/>
      <c r="D12" s="17"/>
      <c r="E12" s="17"/>
      <c r="F12" s="17"/>
      <c r="G12" s="17"/>
      <c r="H12" s="17"/>
      <c r="I12" s="23"/>
      <c r="J12" s="20"/>
      <c r="K12" s="20"/>
      <c r="M12" s="33"/>
      <c r="N12" s="33"/>
      <c r="P12" s="5"/>
    </row>
    <row r="13" spans="1:17" ht="15.75">
      <c r="A13" s="47" t="s">
        <v>4</v>
      </c>
      <c r="B13" s="48" t="s">
        <v>4</v>
      </c>
      <c r="C13" s="49"/>
      <c r="D13" s="48" t="s">
        <v>30</v>
      </c>
      <c r="E13" s="48" t="s">
        <v>17</v>
      </c>
      <c r="F13" s="48" t="s">
        <v>19</v>
      </c>
      <c r="G13" s="48" t="s">
        <v>21</v>
      </c>
      <c r="H13" s="48" t="s">
        <v>22</v>
      </c>
      <c r="I13" s="48" t="s">
        <v>17</v>
      </c>
      <c r="J13" s="48" t="s">
        <v>33</v>
      </c>
      <c r="K13" s="48"/>
      <c r="L13" s="50" t="s">
        <v>29</v>
      </c>
      <c r="M13" s="48" t="s">
        <v>23</v>
      </c>
      <c r="N13" s="48"/>
      <c r="O13" s="50" t="s">
        <v>29</v>
      </c>
      <c r="P13" s="50" t="s">
        <v>29</v>
      </c>
      <c r="Q13" s="50" t="s">
        <v>29</v>
      </c>
    </row>
    <row r="14" spans="1:17" ht="16.5" thickBot="1">
      <c r="A14" s="51" t="s">
        <v>6</v>
      </c>
      <c r="B14" s="52" t="s">
        <v>7</v>
      </c>
      <c r="C14" s="52" t="s">
        <v>8</v>
      </c>
      <c r="D14" s="52" t="s">
        <v>31</v>
      </c>
      <c r="E14" s="52" t="s">
        <v>18</v>
      </c>
      <c r="F14" s="52" t="s">
        <v>20</v>
      </c>
      <c r="G14" s="52" t="s">
        <v>34</v>
      </c>
      <c r="H14" s="52" t="s">
        <v>20</v>
      </c>
      <c r="I14" s="52" t="s">
        <v>35</v>
      </c>
      <c r="J14" s="52" t="s">
        <v>32</v>
      </c>
      <c r="K14" s="52"/>
      <c r="L14" s="53" t="s">
        <v>37</v>
      </c>
      <c r="M14" s="52" t="s">
        <v>20</v>
      </c>
      <c r="N14" s="79"/>
      <c r="O14" s="54" t="s">
        <v>24</v>
      </c>
      <c r="P14" s="73" t="s">
        <v>27</v>
      </c>
      <c r="Q14" s="74" t="s">
        <v>28</v>
      </c>
    </row>
    <row r="15" spans="1:15" ht="15.75">
      <c r="A15" s="25"/>
      <c r="B15" s="26" t="s">
        <v>42</v>
      </c>
      <c r="C15" s="26">
        <v>1</v>
      </c>
      <c r="D15" s="61">
        <v>0.5557</v>
      </c>
      <c r="E15" s="61">
        <v>0.4954</v>
      </c>
      <c r="F15" s="61">
        <v>86.5</v>
      </c>
      <c r="G15" s="71">
        <f>(E15*F15)/100</f>
        <v>0.428521</v>
      </c>
      <c r="H15" s="77">
        <v>15</v>
      </c>
      <c r="I15" s="71">
        <f aca="true" t="shared" si="0" ref="I15:I44">(G15*100)/(100-H15)</f>
        <v>0.5041423529411765</v>
      </c>
      <c r="J15" s="61">
        <v>0.6859</v>
      </c>
      <c r="K15" s="82"/>
      <c r="L15" s="63">
        <f>+(J15-(D15*$G$62))*100/I15</f>
        <v>23.93217499889208</v>
      </c>
      <c r="M15" s="76"/>
      <c r="N15" s="80"/>
      <c r="O15" s="70">
        <f aca="true" t="shared" si="1" ref="O15:O44">L15-M15</f>
        <v>23.93217499889208</v>
      </c>
    </row>
    <row r="16" spans="1:15" ht="15.75">
      <c r="A16" s="25"/>
      <c r="B16" s="30"/>
      <c r="C16" s="26">
        <v>2</v>
      </c>
      <c r="D16" s="61">
        <v>0.5241</v>
      </c>
      <c r="E16" s="61">
        <v>0.5088</v>
      </c>
      <c r="F16" s="61">
        <v>86.5</v>
      </c>
      <c r="G16" s="71">
        <f>(E16*F16)/100</f>
        <v>0.440112</v>
      </c>
      <c r="H16" s="77">
        <v>15</v>
      </c>
      <c r="I16" s="71">
        <f t="shared" si="0"/>
        <v>0.5177788235294118</v>
      </c>
      <c r="J16" s="61">
        <v>0.673</v>
      </c>
      <c r="K16" s="82"/>
      <c r="L16" s="63">
        <f aca="true" t="shared" si="2" ref="L16:L44">+(J16-(D16*$G$62))*100/I16</f>
        <v>27.01832515697949</v>
      </c>
      <c r="M16" s="76"/>
      <c r="N16" s="80"/>
      <c r="O16" s="70">
        <f t="shared" si="1"/>
        <v>27.01832515697949</v>
      </c>
    </row>
    <row r="17" spans="1:17" ht="15.75">
      <c r="A17" s="25"/>
      <c r="B17" s="30"/>
      <c r="C17" s="30">
        <v>3</v>
      </c>
      <c r="D17" s="62">
        <v>0.5696</v>
      </c>
      <c r="E17" s="62">
        <v>0.4993</v>
      </c>
      <c r="F17" s="61">
        <v>86.5</v>
      </c>
      <c r="G17" s="71">
        <f aca="true" t="shared" si="3" ref="G17:G44">(E17*F17)/100</f>
        <v>0.4318945</v>
      </c>
      <c r="H17" s="77">
        <v>15</v>
      </c>
      <c r="I17" s="71">
        <f t="shared" si="0"/>
        <v>0.5081111764705882</v>
      </c>
      <c r="J17" s="62">
        <v>0.7285</v>
      </c>
      <c r="K17" s="81"/>
      <c r="L17" s="63">
        <f t="shared" si="2"/>
        <v>29.34661033782481</v>
      </c>
      <c r="M17" s="76"/>
      <c r="N17" s="80"/>
      <c r="O17" s="70">
        <f t="shared" si="1"/>
        <v>29.34661033782481</v>
      </c>
      <c r="P17" s="72">
        <f>AVERAGE(O15:O17)</f>
        <v>26.765703497898794</v>
      </c>
      <c r="Q17" s="72">
        <f>STDEV(O15:O17)</f>
        <v>2.7160432225663143</v>
      </c>
    </row>
    <row r="18" spans="1:15" ht="15.75">
      <c r="A18" s="29"/>
      <c r="B18" s="30" t="s">
        <v>43</v>
      </c>
      <c r="C18" s="30">
        <v>4</v>
      </c>
      <c r="D18" s="62">
        <v>0.5529</v>
      </c>
      <c r="E18" s="62">
        <v>0.4966</v>
      </c>
      <c r="F18" s="62">
        <v>97</v>
      </c>
      <c r="G18" s="71">
        <f t="shared" si="3"/>
        <v>0.481702</v>
      </c>
      <c r="H18" s="78">
        <v>31.7</v>
      </c>
      <c r="I18" s="71">
        <f t="shared" si="0"/>
        <v>0.7052737920937043</v>
      </c>
      <c r="J18" s="62">
        <v>0.7162</v>
      </c>
      <c r="K18" s="81"/>
      <c r="L18" s="63">
        <f t="shared" si="2"/>
        <v>21.807181852701202</v>
      </c>
      <c r="M18" s="76"/>
      <c r="N18" s="80"/>
      <c r="O18" s="70">
        <f t="shared" si="1"/>
        <v>21.807181852701202</v>
      </c>
    </row>
    <row r="19" spans="1:15" ht="15.75">
      <c r="A19" s="29"/>
      <c r="B19" s="30"/>
      <c r="C19" s="30">
        <v>5</v>
      </c>
      <c r="D19" s="62">
        <v>0.563</v>
      </c>
      <c r="E19" s="62">
        <v>0.5038</v>
      </c>
      <c r="F19" s="62">
        <v>97</v>
      </c>
      <c r="G19" s="71">
        <f t="shared" si="3"/>
        <v>0.488686</v>
      </c>
      <c r="H19" s="78">
        <v>31.7</v>
      </c>
      <c r="I19" s="71">
        <f t="shared" si="0"/>
        <v>0.7154992679355784</v>
      </c>
      <c r="J19" s="62">
        <v>0.7201</v>
      </c>
      <c r="K19" s="81"/>
      <c r="L19" s="63">
        <f t="shared" si="2"/>
        <v>20.604745758785864</v>
      </c>
      <c r="M19" s="76"/>
      <c r="N19" s="80"/>
      <c r="O19" s="70">
        <f t="shared" si="1"/>
        <v>20.604745758785864</v>
      </c>
    </row>
    <row r="20" spans="1:17" ht="15.75">
      <c r="A20" s="29"/>
      <c r="B20" s="30"/>
      <c r="C20" s="30">
        <v>6</v>
      </c>
      <c r="D20" s="62">
        <v>0.5606</v>
      </c>
      <c r="E20" s="62">
        <v>0.496</v>
      </c>
      <c r="F20" s="62">
        <v>97</v>
      </c>
      <c r="G20" s="71">
        <f t="shared" si="3"/>
        <v>0.48112</v>
      </c>
      <c r="H20" s="78">
        <v>31.7</v>
      </c>
      <c r="I20" s="71">
        <f t="shared" si="0"/>
        <v>0.7044216691068814</v>
      </c>
      <c r="J20" s="62">
        <v>0.7352</v>
      </c>
      <c r="K20" s="81"/>
      <c r="L20" s="63">
        <f t="shared" si="2"/>
        <v>23.41893328150251</v>
      </c>
      <c r="M20" s="76"/>
      <c r="N20" s="80"/>
      <c r="O20" s="70">
        <f t="shared" si="1"/>
        <v>23.41893328150251</v>
      </c>
      <c r="P20" s="72">
        <f>AVERAGE(O18:O20)</f>
        <v>21.94362029766319</v>
      </c>
      <c r="Q20" s="72">
        <f>STDEV(O18:O20)</f>
        <v>1.4120461891174982</v>
      </c>
    </row>
    <row r="21" spans="1:15" ht="15.75">
      <c r="A21" s="29"/>
      <c r="B21" s="30" t="s">
        <v>44</v>
      </c>
      <c r="C21" s="30">
        <v>7</v>
      </c>
      <c r="D21" s="62">
        <v>0.5693</v>
      </c>
      <c r="E21" s="62">
        <v>0.5008</v>
      </c>
      <c r="F21" s="62">
        <v>96.9</v>
      </c>
      <c r="G21" s="71">
        <f t="shared" si="3"/>
        <v>0.4852752</v>
      </c>
      <c r="H21" s="78">
        <v>27.9</v>
      </c>
      <c r="I21" s="71">
        <f t="shared" si="0"/>
        <v>0.6730585298196949</v>
      </c>
      <c r="J21" s="62">
        <v>0.7547</v>
      </c>
      <c r="K21" s="81"/>
      <c r="L21" s="63">
        <f t="shared" si="2"/>
        <v>26.09261360143047</v>
      </c>
      <c r="M21" s="76"/>
      <c r="N21" s="80"/>
      <c r="O21" s="70">
        <f t="shared" si="1"/>
        <v>26.09261360143047</v>
      </c>
    </row>
    <row r="22" spans="1:15" ht="15.75">
      <c r="A22" s="29"/>
      <c r="B22" s="30"/>
      <c r="C22" s="30">
        <v>8</v>
      </c>
      <c r="D22" s="62">
        <v>0.57</v>
      </c>
      <c r="E22" s="62">
        <v>0.497</v>
      </c>
      <c r="F22" s="62">
        <v>96.9</v>
      </c>
      <c r="G22" s="71">
        <f t="shared" si="3"/>
        <v>0.481593</v>
      </c>
      <c r="H22" s="78">
        <v>27.9</v>
      </c>
      <c r="I22" s="71">
        <f t="shared" si="0"/>
        <v>0.6679514563106796</v>
      </c>
      <c r="J22" s="62">
        <v>0.775</v>
      </c>
      <c r="K22" s="81"/>
      <c r="L22" s="63">
        <f t="shared" si="2"/>
        <v>29.22465885657885</v>
      </c>
      <c r="M22" s="76"/>
      <c r="N22" s="80"/>
      <c r="O22" s="70">
        <f t="shared" si="1"/>
        <v>29.22465885657885</v>
      </c>
    </row>
    <row r="23" spans="1:17" ht="15.75">
      <c r="A23" s="29"/>
      <c r="B23" s="30"/>
      <c r="C23" s="30">
        <v>9</v>
      </c>
      <c r="D23" s="62">
        <v>0.5638</v>
      </c>
      <c r="E23" s="62">
        <v>0.5016</v>
      </c>
      <c r="F23" s="62">
        <v>96.9</v>
      </c>
      <c r="G23" s="71">
        <f t="shared" si="3"/>
        <v>0.4860504000000001</v>
      </c>
      <c r="H23" s="78">
        <v>27.9</v>
      </c>
      <c r="I23" s="71">
        <f t="shared" si="0"/>
        <v>0.6741337031900141</v>
      </c>
      <c r="J23" s="62">
        <v>0.7851</v>
      </c>
      <c r="K23" s="81"/>
      <c r="L23" s="63">
        <f t="shared" si="2"/>
        <v>31.390369424924735</v>
      </c>
      <c r="M23" s="76"/>
      <c r="N23" s="80"/>
      <c r="O23" s="70">
        <f t="shared" si="1"/>
        <v>31.390369424924735</v>
      </c>
      <c r="P23" s="72">
        <f>AVERAGE(O21:O23)</f>
        <v>28.90254729431135</v>
      </c>
      <c r="Q23" s="72">
        <f>STDEV(O21:O23)</f>
        <v>2.6635260624314623</v>
      </c>
    </row>
    <row r="24" spans="1:15" ht="15.75">
      <c r="A24" s="29"/>
      <c r="B24" s="30" t="s">
        <v>39</v>
      </c>
      <c r="C24" s="30">
        <v>10</v>
      </c>
      <c r="D24" s="62">
        <v>0.5646</v>
      </c>
      <c r="E24" s="62">
        <v>0.4958</v>
      </c>
      <c r="F24" s="62">
        <v>88</v>
      </c>
      <c r="G24" s="71">
        <f t="shared" si="3"/>
        <v>0.436304</v>
      </c>
      <c r="H24" s="78">
        <v>12.1</v>
      </c>
      <c r="I24" s="71">
        <f t="shared" si="0"/>
        <v>0.49636405005688283</v>
      </c>
      <c r="J24" s="62">
        <v>0.6601</v>
      </c>
      <c r="K24" s="81"/>
      <c r="L24" s="63">
        <f t="shared" si="2"/>
        <v>17.285561801788322</v>
      </c>
      <c r="M24" s="76"/>
      <c r="N24" s="80"/>
      <c r="O24" s="70">
        <f t="shared" si="1"/>
        <v>17.285561801788322</v>
      </c>
    </row>
    <row r="25" spans="1:15" ht="15.75">
      <c r="A25" s="29"/>
      <c r="B25" s="30"/>
      <c r="C25" s="30">
        <v>11</v>
      </c>
      <c r="D25" s="62">
        <v>0.5735</v>
      </c>
      <c r="E25" s="62">
        <v>0.4966</v>
      </c>
      <c r="F25" s="62">
        <v>88</v>
      </c>
      <c r="G25" s="71">
        <f t="shared" si="3"/>
        <v>0.437008</v>
      </c>
      <c r="H25" s="78">
        <v>12.1</v>
      </c>
      <c r="I25" s="71">
        <f t="shared" si="0"/>
        <v>0.497164960182025</v>
      </c>
      <c r="J25" s="62">
        <v>0.6601</v>
      </c>
      <c r="K25" s="81"/>
      <c r="L25" s="63">
        <f t="shared" si="2"/>
        <v>15.43680775317929</v>
      </c>
      <c r="M25" s="76"/>
      <c r="N25" s="80"/>
      <c r="O25" s="70">
        <f t="shared" si="1"/>
        <v>15.43680775317929</v>
      </c>
    </row>
    <row r="26" spans="1:17" ht="15.75">
      <c r="A26" s="29"/>
      <c r="B26" s="30"/>
      <c r="C26" s="30">
        <v>12</v>
      </c>
      <c r="D26" s="62">
        <v>0.6028</v>
      </c>
      <c r="E26" s="62">
        <v>0.4952</v>
      </c>
      <c r="F26" s="62">
        <v>88</v>
      </c>
      <c r="G26" s="71">
        <f t="shared" si="3"/>
        <v>0.43577599999999994</v>
      </c>
      <c r="H26" s="78">
        <v>12.1</v>
      </c>
      <c r="I26" s="71">
        <f t="shared" si="0"/>
        <v>0.4957633674630261</v>
      </c>
      <c r="J26" s="62">
        <v>0.6923</v>
      </c>
      <c r="K26" s="81"/>
      <c r="L26" s="63">
        <f t="shared" si="2"/>
        <v>15.963862160965393</v>
      </c>
      <c r="M26" s="76"/>
      <c r="N26" s="80"/>
      <c r="O26" s="70">
        <f t="shared" si="1"/>
        <v>15.963862160965393</v>
      </c>
      <c r="P26" s="72">
        <f>AVERAGE(O24:O26)</f>
        <v>16.228743905311003</v>
      </c>
      <c r="Q26" s="72">
        <f>STDEV(O24:O26)</f>
        <v>0.9524151599632126</v>
      </c>
    </row>
    <row r="27" spans="1:15" ht="15.75">
      <c r="A27" s="29"/>
      <c r="B27" s="30" t="s">
        <v>40</v>
      </c>
      <c r="C27" s="30">
        <v>13</v>
      </c>
      <c r="D27" s="87">
        <v>0.5902</v>
      </c>
      <c r="E27" s="87">
        <v>0.4973</v>
      </c>
      <c r="F27" s="62">
        <v>96.3</v>
      </c>
      <c r="G27" s="71">
        <f>(E28*F27)/100</f>
        <v>0.47581829999999997</v>
      </c>
      <c r="H27" s="78">
        <v>32.9</v>
      </c>
      <c r="I27" s="71">
        <f t="shared" si="0"/>
        <v>0.7091181818181819</v>
      </c>
      <c r="J27" s="87">
        <v>0.7973</v>
      </c>
      <c r="K27" s="81"/>
      <c r="L27" s="63">
        <f>+(J27-(D27*$G$62))*100/I27</f>
        <v>27.775266917414186</v>
      </c>
      <c r="M27" s="76"/>
      <c r="N27" s="80"/>
      <c r="O27" s="70">
        <f t="shared" si="1"/>
        <v>27.775266917414186</v>
      </c>
    </row>
    <row r="28" spans="1:15" ht="15.75">
      <c r="A28" s="29"/>
      <c r="B28" s="30"/>
      <c r="C28" s="30">
        <v>14</v>
      </c>
      <c r="D28" s="62">
        <v>0.5846</v>
      </c>
      <c r="E28" s="62">
        <v>0.4941</v>
      </c>
      <c r="F28" s="62">
        <v>96.3</v>
      </c>
      <c r="G28" s="71">
        <f>(E29*F28)/100</f>
        <v>0.4769739</v>
      </c>
      <c r="H28" s="78">
        <v>32.9</v>
      </c>
      <c r="I28" s="71">
        <f t="shared" si="0"/>
        <v>0.7108403874813711</v>
      </c>
      <c r="J28" s="62">
        <v>0.8007</v>
      </c>
      <c r="K28" s="81"/>
      <c r="L28" s="63">
        <f>+(J28-(D28*$G$62))*100/I28</f>
        <v>28.987616333085363</v>
      </c>
      <c r="M28" s="76"/>
      <c r="N28" s="80"/>
      <c r="O28" s="70">
        <f t="shared" si="1"/>
        <v>28.987616333085363</v>
      </c>
    </row>
    <row r="29" spans="1:17" ht="15.75">
      <c r="A29" s="29"/>
      <c r="B29" s="30"/>
      <c r="C29" s="30">
        <v>15</v>
      </c>
      <c r="D29" s="62">
        <v>0.5971</v>
      </c>
      <c r="E29" s="62">
        <v>0.4953</v>
      </c>
      <c r="F29" s="62">
        <v>96.3</v>
      </c>
      <c r="G29" s="71">
        <f>(E28*F29)/100</f>
        <v>0.47581829999999997</v>
      </c>
      <c r="H29" s="78">
        <v>32.9</v>
      </c>
      <c r="I29" s="71">
        <f t="shared" si="0"/>
        <v>0.7091181818181819</v>
      </c>
      <c r="J29" s="62">
        <v>0.7963</v>
      </c>
      <c r="K29" s="81"/>
      <c r="L29" s="63">
        <f aca="true" t="shared" si="4" ref="L29:L35">+(J29-(D29*$G$62))*100/I29</f>
        <v>26.644488905582584</v>
      </c>
      <c r="M29" s="76"/>
      <c r="N29" s="80"/>
      <c r="O29" s="70">
        <f t="shared" si="1"/>
        <v>26.644488905582584</v>
      </c>
      <c r="P29" s="72">
        <f>AVERAGE(O27:O29)</f>
        <v>27.80245738536071</v>
      </c>
      <c r="Q29" s="72">
        <f>STDEV(O27:O29)</f>
        <v>1.171800335611537</v>
      </c>
    </row>
    <row r="30" spans="1:15" ht="15.75">
      <c r="A30" s="29"/>
      <c r="B30" s="30" t="s">
        <v>41</v>
      </c>
      <c r="C30" s="30">
        <v>16</v>
      </c>
      <c r="D30" s="62">
        <v>0.5722</v>
      </c>
      <c r="E30" s="62">
        <v>0.5049</v>
      </c>
      <c r="F30" s="62">
        <v>96.3</v>
      </c>
      <c r="G30" s="71">
        <f t="shared" si="3"/>
        <v>0.4862187</v>
      </c>
      <c r="H30" s="78">
        <v>31</v>
      </c>
      <c r="I30" s="71">
        <f t="shared" si="0"/>
        <v>0.7046647826086957</v>
      </c>
      <c r="J30" s="62">
        <v>0.8071</v>
      </c>
      <c r="K30" s="81"/>
      <c r="L30" s="63">
        <f t="shared" si="4"/>
        <v>31.93983020697496</v>
      </c>
      <c r="M30" s="76"/>
      <c r="N30" s="80"/>
      <c r="O30" s="70">
        <f t="shared" si="1"/>
        <v>31.93983020697496</v>
      </c>
    </row>
    <row r="31" spans="1:15" ht="15.75">
      <c r="A31" s="29"/>
      <c r="B31" s="30"/>
      <c r="C31" s="30">
        <v>17</v>
      </c>
      <c r="D31" s="62">
        <v>0.5897</v>
      </c>
      <c r="E31" s="62">
        <v>0.4966</v>
      </c>
      <c r="F31" s="62">
        <v>96.3</v>
      </c>
      <c r="G31" s="71">
        <f t="shared" si="3"/>
        <v>0.4782257999999999</v>
      </c>
      <c r="H31" s="78">
        <v>31</v>
      </c>
      <c r="I31" s="71">
        <f t="shared" si="0"/>
        <v>0.6930808695652173</v>
      </c>
      <c r="J31" s="62">
        <v>0.8126</v>
      </c>
      <c r="K31" s="81"/>
      <c r="L31" s="63">
        <f t="shared" si="4"/>
        <v>30.69887914416912</v>
      </c>
      <c r="M31" s="76"/>
      <c r="N31" s="80"/>
      <c r="O31" s="70">
        <f t="shared" si="1"/>
        <v>30.69887914416912</v>
      </c>
    </row>
    <row r="32" spans="1:17" ht="15.75">
      <c r="A32" s="29"/>
      <c r="B32" s="30"/>
      <c r="C32" s="30">
        <v>18</v>
      </c>
      <c r="D32" s="62">
        <v>0.5565</v>
      </c>
      <c r="E32" s="62">
        <v>0.5056</v>
      </c>
      <c r="F32" s="62">
        <v>96.3</v>
      </c>
      <c r="G32" s="71">
        <f t="shared" si="3"/>
        <v>0.4868928</v>
      </c>
      <c r="H32" s="78">
        <v>31</v>
      </c>
      <c r="I32" s="71">
        <f t="shared" si="0"/>
        <v>0.7056417391304348</v>
      </c>
      <c r="J32" s="62">
        <v>0.7921</v>
      </c>
      <c r="K32" s="81"/>
      <c r="L32" s="63">
        <f t="shared" si="4"/>
        <v>32.03303778672924</v>
      </c>
      <c r="M32" s="76"/>
      <c r="N32" s="80"/>
      <c r="O32" s="70">
        <f t="shared" si="1"/>
        <v>32.03303778672924</v>
      </c>
      <c r="P32" s="72">
        <f>AVERAGE(O30:O32)</f>
        <v>31.557249045957775</v>
      </c>
      <c r="Q32" s="72">
        <f>STDEV(O30:O32)</f>
        <v>0.7448295640301945</v>
      </c>
    </row>
    <row r="33" spans="1:15" ht="15.75">
      <c r="A33" s="29"/>
      <c r="B33" s="30" t="s">
        <v>38</v>
      </c>
      <c r="C33" s="30">
        <v>19</v>
      </c>
      <c r="D33" s="62">
        <v>0.5827</v>
      </c>
      <c r="E33" s="62">
        <v>0.498</v>
      </c>
      <c r="F33" s="62">
        <v>90.5</v>
      </c>
      <c r="G33" s="71">
        <f t="shared" si="3"/>
        <v>0.45069000000000004</v>
      </c>
      <c r="H33" s="78">
        <v>16.7</v>
      </c>
      <c r="I33" s="71">
        <f t="shared" si="0"/>
        <v>0.5410444177671069</v>
      </c>
      <c r="J33" s="62">
        <v>0.7446</v>
      </c>
      <c r="K33" s="81"/>
      <c r="L33" s="63">
        <f t="shared" si="4"/>
        <v>28.073171843409856</v>
      </c>
      <c r="M33" s="76"/>
      <c r="N33" s="80"/>
      <c r="O33" s="70">
        <f t="shared" si="1"/>
        <v>28.073171843409856</v>
      </c>
    </row>
    <row r="34" spans="1:15" ht="15.75">
      <c r="A34" s="29"/>
      <c r="B34" s="30"/>
      <c r="C34" s="30">
        <v>20</v>
      </c>
      <c r="D34" s="62">
        <v>0.5768</v>
      </c>
      <c r="E34" s="62">
        <v>0.4996</v>
      </c>
      <c r="F34" s="62">
        <v>90.5</v>
      </c>
      <c r="G34" s="71">
        <f t="shared" si="3"/>
        <v>0.452138</v>
      </c>
      <c r="H34" s="78">
        <v>16.7</v>
      </c>
      <c r="I34" s="71">
        <f t="shared" si="0"/>
        <v>0.5427827130852341</v>
      </c>
      <c r="J34" s="62">
        <v>0.739</v>
      </c>
      <c r="K34" s="81"/>
      <c r="L34" s="63">
        <f t="shared" si="4"/>
        <v>28.05721266299533</v>
      </c>
      <c r="M34" s="76"/>
      <c r="N34" s="80"/>
      <c r="O34" s="70">
        <f t="shared" si="1"/>
        <v>28.05721266299533</v>
      </c>
    </row>
    <row r="35" spans="1:17" ht="15.75">
      <c r="A35" s="29"/>
      <c r="B35" s="30"/>
      <c r="C35" s="30">
        <v>21</v>
      </c>
      <c r="D35" s="62">
        <v>0.562</v>
      </c>
      <c r="E35" s="62">
        <v>0.4991</v>
      </c>
      <c r="F35" s="62">
        <v>90.5</v>
      </c>
      <c r="G35" s="71">
        <f t="shared" si="3"/>
        <v>0.45168549999999996</v>
      </c>
      <c r="H35" s="78">
        <v>16.7</v>
      </c>
      <c r="I35" s="71">
        <f t="shared" si="0"/>
        <v>0.5422394957983193</v>
      </c>
      <c r="J35" s="62">
        <v>0.73</v>
      </c>
      <c r="K35" s="81"/>
      <c r="L35" s="63">
        <f t="shared" si="4"/>
        <v>29.201854127116306</v>
      </c>
      <c r="M35" s="76"/>
      <c r="N35" s="80"/>
      <c r="O35" s="70">
        <f t="shared" si="1"/>
        <v>29.201854127116306</v>
      </c>
      <c r="P35" s="72">
        <f>AVERAGE(O33:O35)</f>
        <v>28.44407954450716</v>
      </c>
      <c r="Q35" s="72">
        <f>STDEV(O33:O35)</f>
        <v>0.6563005503549577</v>
      </c>
    </row>
    <row r="36" spans="1:15" ht="15.75">
      <c r="A36" s="29"/>
      <c r="B36" s="30"/>
      <c r="C36" s="30">
        <v>22</v>
      </c>
      <c r="D36" s="62"/>
      <c r="E36" s="62"/>
      <c r="F36" s="62"/>
      <c r="G36" s="71">
        <f t="shared" si="3"/>
        <v>0</v>
      </c>
      <c r="H36" s="78"/>
      <c r="I36" s="71">
        <f t="shared" si="0"/>
        <v>0</v>
      </c>
      <c r="J36" s="62"/>
      <c r="K36" s="81"/>
      <c r="L36" s="63" t="e">
        <f t="shared" si="2"/>
        <v>#DIV/0!</v>
      </c>
      <c r="M36" s="76"/>
      <c r="N36" s="80"/>
      <c r="O36" s="70" t="e">
        <f t="shared" si="1"/>
        <v>#DIV/0!</v>
      </c>
    </row>
    <row r="37" spans="1:15" ht="15.75">
      <c r="A37" s="29"/>
      <c r="B37" s="30"/>
      <c r="C37" s="30">
        <v>23</v>
      </c>
      <c r="D37" s="62"/>
      <c r="E37" s="62"/>
      <c r="F37" s="62"/>
      <c r="G37" s="71">
        <f t="shared" si="3"/>
        <v>0</v>
      </c>
      <c r="H37" s="78"/>
      <c r="I37" s="71">
        <f t="shared" si="0"/>
        <v>0</v>
      </c>
      <c r="J37" s="62"/>
      <c r="K37" s="81"/>
      <c r="L37" s="63" t="e">
        <f t="shared" si="2"/>
        <v>#DIV/0!</v>
      </c>
      <c r="M37" s="76"/>
      <c r="N37" s="80"/>
      <c r="O37" s="70" t="e">
        <f t="shared" si="1"/>
        <v>#DIV/0!</v>
      </c>
    </row>
    <row r="38" spans="1:17" ht="15.75">
      <c r="A38" s="29"/>
      <c r="B38" s="30"/>
      <c r="C38" s="30">
        <v>24</v>
      </c>
      <c r="D38" s="62"/>
      <c r="E38" s="62"/>
      <c r="F38" s="62"/>
      <c r="G38" s="71">
        <f t="shared" si="3"/>
        <v>0</v>
      </c>
      <c r="H38" s="78"/>
      <c r="I38" s="71">
        <f t="shared" si="0"/>
        <v>0</v>
      </c>
      <c r="J38" s="62"/>
      <c r="K38" s="81"/>
      <c r="L38" s="63" t="e">
        <f t="shared" si="2"/>
        <v>#DIV/0!</v>
      </c>
      <c r="M38" s="76"/>
      <c r="N38" s="80"/>
      <c r="O38" s="70" t="e">
        <f t="shared" si="1"/>
        <v>#DIV/0!</v>
      </c>
      <c r="P38" s="72" t="e">
        <f>AVERAGE(O36:O38)</f>
        <v>#DIV/0!</v>
      </c>
      <c r="Q38" s="72" t="e">
        <f>STDEV(O36:O38)</f>
        <v>#DIV/0!</v>
      </c>
    </row>
    <row r="39" spans="1:17" ht="15.75">
      <c r="A39" s="84"/>
      <c r="B39" s="30"/>
      <c r="C39" s="30">
        <v>25</v>
      </c>
      <c r="D39" s="62"/>
      <c r="E39" s="62"/>
      <c r="F39" s="62"/>
      <c r="G39" s="71">
        <f t="shared" si="3"/>
        <v>0</v>
      </c>
      <c r="H39" s="78"/>
      <c r="I39" s="71">
        <f t="shared" si="0"/>
        <v>0</v>
      </c>
      <c r="J39" s="62"/>
      <c r="K39" s="81"/>
      <c r="L39" s="63" t="e">
        <f t="shared" si="2"/>
        <v>#DIV/0!</v>
      </c>
      <c r="M39" s="76"/>
      <c r="N39" s="80"/>
      <c r="O39" s="70" t="e">
        <f t="shared" si="1"/>
        <v>#DIV/0!</v>
      </c>
      <c r="P39" s="72"/>
      <c r="Q39" s="72"/>
    </row>
    <row r="40" spans="1:17" ht="15.75">
      <c r="A40" s="84"/>
      <c r="B40" s="30"/>
      <c r="C40" s="30">
        <v>26</v>
      </c>
      <c r="D40" s="62"/>
      <c r="E40" s="62"/>
      <c r="F40" s="62"/>
      <c r="G40" s="71">
        <f t="shared" si="3"/>
        <v>0</v>
      </c>
      <c r="H40" s="78"/>
      <c r="I40" s="71">
        <f t="shared" si="0"/>
        <v>0</v>
      </c>
      <c r="J40" s="62"/>
      <c r="K40" s="81"/>
      <c r="L40" s="63" t="e">
        <f t="shared" si="2"/>
        <v>#DIV/0!</v>
      </c>
      <c r="M40" s="76"/>
      <c r="N40" s="80"/>
      <c r="O40" s="70" t="e">
        <f t="shared" si="1"/>
        <v>#DIV/0!</v>
      </c>
      <c r="P40" s="72"/>
      <c r="Q40" s="72"/>
    </row>
    <row r="41" spans="1:17" ht="15.75">
      <c r="A41" s="84"/>
      <c r="B41" s="30"/>
      <c r="C41" s="30">
        <v>27</v>
      </c>
      <c r="D41" s="62"/>
      <c r="E41" s="62"/>
      <c r="F41" s="62"/>
      <c r="G41" s="71">
        <f t="shared" si="3"/>
        <v>0</v>
      </c>
      <c r="H41" s="78"/>
      <c r="I41" s="71">
        <f t="shared" si="0"/>
        <v>0</v>
      </c>
      <c r="J41" s="62"/>
      <c r="K41" s="81"/>
      <c r="L41" s="63" t="e">
        <f t="shared" si="2"/>
        <v>#DIV/0!</v>
      </c>
      <c r="M41" s="76"/>
      <c r="N41" s="80"/>
      <c r="O41" s="70" t="e">
        <f t="shared" si="1"/>
        <v>#DIV/0!</v>
      </c>
      <c r="P41" s="72" t="e">
        <f>AVERAGE(O39:O41)</f>
        <v>#DIV/0!</v>
      </c>
      <c r="Q41" s="72" t="e">
        <f>STDEV(O39:O41)</f>
        <v>#DIV/0!</v>
      </c>
    </row>
    <row r="42" spans="1:17" ht="15.75">
      <c r="A42" s="84"/>
      <c r="B42" s="30"/>
      <c r="C42" s="30">
        <v>28</v>
      </c>
      <c r="D42" s="62"/>
      <c r="E42" s="62"/>
      <c r="F42" s="62"/>
      <c r="G42" s="71">
        <f t="shared" si="3"/>
        <v>0</v>
      </c>
      <c r="H42" s="78"/>
      <c r="I42" s="71">
        <f t="shared" si="0"/>
        <v>0</v>
      </c>
      <c r="J42" s="62"/>
      <c r="K42" s="81"/>
      <c r="L42" s="63" t="e">
        <f t="shared" si="2"/>
        <v>#DIV/0!</v>
      </c>
      <c r="M42" s="76"/>
      <c r="N42" s="80"/>
      <c r="O42" s="70" t="e">
        <f t="shared" si="1"/>
        <v>#DIV/0!</v>
      </c>
      <c r="P42" s="72"/>
      <c r="Q42" s="72"/>
    </row>
    <row r="43" spans="1:17" ht="15.75">
      <c r="A43" s="84"/>
      <c r="B43" s="30"/>
      <c r="C43" s="30">
        <v>29</v>
      </c>
      <c r="D43" s="62"/>
      <c r="E43" s="62"/>
      <c r="F43" s="62"/>
      <c r="G43" s="71">
        <f t="shared" si="3"/>
        <v>0</v>
      </c>
      <c r="H43" s="78"/>
      <c r="I43" s="71">
        <f t="shared" si="0"/>
        <v>0</v>
      </c>
      <c r="J43" s="62"/>
      <c r="K43" s="81"/>
      <c r="L43" s="63" t="e">
        <f t="shared" si="2"/>
        <v>#DIV/0!</v>
      </c>
      <c r="M43" s="76"/>
      <c r="N43" s="80"/>
      <c r="O43" s="70" t="e">
        <f t="shared" si="1"/>
        <v>#DIV/0!</v>
      </c>
      <c r="P43" s="72"/>
      <c r="Q43" s="72"/>
    </row>
    <row r="44" spans="1:17" ht="15.75">
      <c r="A44" s="84"/>
      <c r="B44" s="96"/>
      <c r="C44" s="96">
        <v>30</v>
      </c>
      <c r="D44" s="97"/>
      <c r="E44" s="97"/>
      <c r="F44" s="97"/>
      <c r="G44" s="71">
        <f t="shared" si="3"/>
        <v>0</v>
      </c>
      <c r="H44" s="98"/>
      <c r="I44" s="71">
        <f t="shared" si="0"/>
        <v>0</v>
      </c>
      <c r="J44" s="97"/>
      <c r="K44" s="81"/>
      <c r="L44" s="63" t="e">
        <f t="shared" si="2"/>
        <v>#DIV/0!</v>
      </c>
      <c r="M44" s="99"/>
      <c r="N44" s="80"/>
      <c r="O44" s="70" t="e">
        <f t="shared" si="1"/>
        <v>#DIV/0!</v>
      </c>
      <c r="P44" s="72" t="e">
        <f>AVERAGE(O42:O44)</f>
        <v>#DIV/0!</v>
      </c>
      <c r="Q44" s="72" t="e">
        <f>STDEV(O42:O44)</f>
        <v>#DIV/0!</v>
      </c>
    </row>
    <row r="45" spans="1:17" ht="15.75">
      <c r="A45" s="17"/>
      <c r="B45" s="17"/>
      <c r="C45" s="17"/>
      <c r="D45" s="100"/>
      <c r="E45" s="100"/>
      <c r="F45" s="101"/>
      <c r="G45" s="102"/>
      <c r="H45" s="100"/>
      <c r="I45" s="102"/>
      <c r="J45" s="89"/>
      <c r="K45" s="101"/>
      <c r="L45" s="103"/>
      <c r="M45" s="101"/>
      <c r="N45" s="101"/>
      <c r="O45" s="104"/>
      <c r="P45" s="94"/>
      <c r="Q45" s="72"/>
    </row>
    <row r="46" spans="1:17" ht="15.75">
      <c r="A46" s="17"/>
      <c r="B46" s="83"/>
      <c r="C46" s="83"/>
      <c r="D46" s="85"/>
      <c r="E46" s="88"/>
      <c r="F46" s="88"/>
      <c r="G46" s="88"/>
      <c r="H46" s="100"/>
      <c r="I46" s="102"/>
      <c r="J46" s="89"/>
      <c r="K46" s="95"/>
      <c r="L46" s="103"/>
      <c r="M46" s="101"/>
      <c r="N46" s="101"/>
      <c r="O46" s="104"/>
      <c r="P46" s="94"/>
      <c r="Q46" s="94"/>
    </row>
    <row r="47" spans="1:17" ht="15.75">
      <c r="A47" s="17"/>
      <c r="B47" s="83"/>
      <c r="C47" s="83"/>
      <c r="D47" s="85"/>
      <c r="E47" s="88"/>
      <c r="F47" s="105"/>
      <c r="G47" s="88"/>
      <c r="H47" s="100"/>
      <c r="I47" s="102"/>
      <c r="J47" s="89"/>
      <c r="K47" s="95"/>
      <c r="L47" s="103"/>
      <c r="M47" s="101"/>
      <c r="N47" s="101"/>
      <c r="O47" s="104"/>
      <c r="P47" s="94"/>
      <c r="Q47" s="94"/>
    </row>
    <row r="48" spans="1:17" ht="15.75">
      <c r="A48" s="17"/>
      <c r="B48" s="83"/>
      <c r="C48" s="83"/>
      <c r="D48" s="85"/>
      <c r="E48" s="88"/>
      <c r="F48" s="89"/>
      <c r="G48" s="88"/>
      <c r="H48" s="88"/>
      <c r="I48" s="102"/>
      <c r="J48" s="89"/>
      <c r="K48" s="95"/>
      <c r="L48" s="103"/>
      <c r="M48" s="101"/>
      <c r="N48" s="101"/>
      <c r="O48" s="104"/>
      <c r="P48" s="94"/>
      <c r="Q48" s="94"/>
    </row>
    <row r="49" spans="1:17" ht="15.75">
      <c r="A49" s="17"/>
      <c r="B49" s="106"/>
      <c r="C49" s="106"/>
      <c r="D49" s="106"/>
      <c r="E49" s="107"/>
      <c r="F49" s="107"/>
      <c r="G49" s="107"/>
      <c r="H49" s="88"/>
      <c r="I49" s="102"/>
      <c r="J49" s="107"/>
      <c r="K49" s="107"/>
      <c r="L49" s="103"/>
      <c r="M49" s="101"/>
      <c r="N49" s="101"/>
      <c r="O49" s="104"/>
      <c r="P49" s="94"/>
      <c r="Q49" s="94"/>
    </row>
    <row r="50" spans="1:17" ht="15.75">
      <c r="A50" s="17"/>
      <c r="B50" s="17"/>
      <c r="C50" s="17"/>
      <c r="D50" s="88"/>
      <c r="E50" s="88"/>
      <c r="F50" s="17"/>
      <c r="G50" s="88"/>
      <c r="H50" s="88"/>
      <c r="I50" s="102"/>
      <c r="J50" s="89"/>
      <c r="K50" s="101"/>
      <c r="L50" s="103"/>
      <c r="M50" s="101"/>
      <c r="N50" s="101"/>
      <c r="O50" s="104"/>
      <c r="P50" s="94"/>
      <c r="Q50" s="94"/>
    </row>
    <row r="51" spans="1:17" ht="15.75">
      <c r="A51" s="17"/>
      <c r="B51" s="17"/>
      <c r="C51" s="17"/>
      <c r="D51" s="88"/>
      <c r="E51" s="88"/>
      <c r="F51" s="17"/>
      <c r="G51" s="88"/>
      <c r="H51" s="88"/>
      <c r="I51" s="102"/>
      <c r="J51" s="89"/>
      <c r="K51" s="101"/>
      <c r="L51" s="103"/>
      <c r="M51" s="101"/>
      <c r="N51" s="101"/>
      <c r="O51" s="104"/>
      <c r="P51" s="94"/>
      <c r="Q51" s="94"/>
    </row>
    <row r="52" spans="1:17" ht="15.75">
      <c r="A52" s="17"/>
      <c r="B52" s="17"/>
      <c r="C52" s="17"/>
      <c r="D52" s="88"/>
      <c r="E52" s="17"/>
      <c r="F52" s="17"/>
      <c r="G52" s="88"/>
      <c r="H52" s="88"/>
      <c r="I52" s="102"/>
      <c r="J52" s="89"/>
      <c r="K52" s="101"/>
      <c r="L52" s="103"/>
      <c r="M52" s="101"/>
      <c r="N52" s="101"/>
      <c r="O52" s="104"/>
      <c r="P52" s="94"/>
      <c r="Q52" s="94"/>
    </row>
    <row r="53" spans="1:17" ht="15.75">
      <c r="A53" s="17"/>
      <c r="B53" s="17"/>
      <c r="C53" s="17"/>
      <c r="D53" s="88"/>
      <c r="E53" s="88"/>
      <c r="F53" s="17"/>
      <c r="G53" s="88"/>
      <c r="H53" s="88"/>
      <c r="I53" s="102"/>
      <c r="J53" s="89"/>
      <c r="K53" s="101"/>
      <c r="L53" s="103"/>
      <c r="M53" s="101"/>
      <c r="N53" s="101"/>
      <c r="O53" s="104"/>
      <c r="P53" s="94"/>
      <c r="Q53" s="94"/>
    </row>
    <row r="54" spans="4:17" ht="15.75">
      <c r="D54" s="88"/>
      <c r="E54" s="88"/>
      <c r="G54" s="88"/>
      <c r="H54" s="88"/>
      <c r="I54" s="90"/>
      <c r="J54" s="89"/>
      <c r="K54" s="92"/>
      <c r="L54" s="91"/>
      <c r="M54" s="92"/>
      <c r="N54" s="92"/>
      <c r="O54" s="93"/>
      <c r="P54" s="94"/>
      <c r="Q54" s="94"/>
    </row>
    <row r="55" spans="4:17" ht="15.75">
      <c r="D55" s="88"/>
      <c r="E55" s="88"/>
      <c r="G55" s="88"/>
      <c r="H55" s="88"/>
      <c r="I55" s="90"/>
      <c r="J55" s="89"/>
      <c r="K55" s="92"/>
      <c r="L55" s="91"/>
      <c r="M55" s="92"/>
      <c r="N55" s="92"/>
      <c r="O55" s="93"/>
      <c r="P55" s="94"/>
      <c r="Q55" s="94"/>
    </row>
    <row r="56" spans="4:17" ht="15.75">
      <c r="D56" s="88"/>
      <c r="E56" s="88"/>
      <c r="G56" s="88"/>
      <c r="H56" s="88"/>
      <c r="I56" s="90"/>
      <c r="J56" s="89"/>
      <c r="K56" s="92"/>
      <c r="L56" s="91"/>
      <c r="M56" s="92"/>
      <c r="N56" s="92"/>
      <c r="O56" s="93"/>
      <c r="P56" s="94"/>
      <c r="Q56" s="94"/>
    </row>
    <row r="57" spans="4:17" ht="15.75">
      <c r="D57" s="88"/>
      <c r="E57" s="88"/>
      <c r="G57" s="88"/>
      <c r="H57" s="88"/>
      <c r="I57" s="90"/>
      <c r="J57" s="89"/>
      <c r="K57" s="92"/>
      <c r="L57" s="91"/>
      <c r="M57" s="92"/>
      <c r="N57" s="92"/>
      <c r="O57" s="93"/>
      <c r="P57" s="94"/>
      <c r="Q57" s="94"/>
    </row>
    <row r="58" spans="4:17" ht="15.75">
      <c r="D58" s="88"/>
      <c r="E58" s="88"/>
      <c r="G58" s="88"/>
      <c r="H58" s="88"/>
      <c r="I58" s="90"/>
      <c r="J58" s="89"/>
      <c r="K58" s="92"/>
      <c r="L58" s="91"/>
      <c r="M58" s="92"/>
      <c r="N58" s="92"/>
      <c r="O58" s="93"/>
      <c r="P58" s="94"/>
      <c r="Q58" s="94"/>
    </row>
    <row r="59" spans="4:17" ht="15.75">
      <c r="D59" s="88"/>
      <c r="E59" s="88"/>
      <c r="G59" s="88"/>
      <c r="H59" s="88"/>
      <c r="I59" s="90"/>
      <c r="J59" s="89"/>
      <c r="K59" s="92"/>
      <c r="L59" s="91"/>
      <c r="M59" s="92"/>
      <c r="N59" s="92"/>
      <c r="O59" s="93"/>
      <c r="P59" s="94"/>
      <c r="Q59" s="94"/>
    </row>
    <row r="60" spans="7:17" ht="12.75"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7:17" ht="12.75"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2" ht="15.75">
      <c r="A62" s="35"/>
      <c r="B62" s="36" t="s">
        <v>12</v>
      </c>
      <c r="C62" s="26">
        <v>23</v>
      </c>
      <c r="D62" s="60">
        <v>0.5789</v>
      </c>
      <c r="E62" s="86">
        <v>0.5909</v>
      </c>
      <c r="F62">
        <f>E62/D62</f>
        <v>1.0207289687338055</v>
      </c>
      <c r="G62" s="60">
        <f>AVERAGE(F62:F63)</f>
        <v>1.0171815185362345</v>
      </c>
      <c r="H62" s="60"/>
      <c r="I62" s="39"/>
      <c r="J62" s="28"/>
      <c r="K62" s="28"/>
      <c r="L62" s="28"/>
    </row>
    <row r="63" spans="1:12" ht="15.75">
      <c r="A63" s="35"/>
      <c r="B63" s="36" t="s">
        <v>12</v>
      </c>
      <c r="C63" s="30">
        <v>24</v>
      </c>
      <c r="D63" s="32">
        <v>0.5941</v>
      </c>
      <c r="E63" s="86">
        <v>0.6022</v>
      </c>
      <c r="F63">
        <f>E63/D63</f>
        <v>1.0136340683386635</v>
      </c>
      <c r="G63" s="28"/>
      <c r="H63" s="28"/>
      <c r="I63" s="39"/>
      <c r="J63" s="32"/>
      <c r="K63" s="28"/>
      <c r="L63" s="28"/>
    </row>
  </sheetData>
  <sheetProtection/>
  <printOptions horizontalCentered="1" verticalCentered="1"/>
  <pageMargins left="0.25" right="0.25" top="0.5" bottom="0.5" header="0.5" footer="0.25"/>
  <pageSetup fitToHeight="1" fitToWidth="1" horizontalDpi="600" verticalDpi="600" orientation="landscape" scale="85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7"/>
  <sheetViews>
    <sheetView zoomScalePageLayoutView="0" workbookViewId="0" topLeftCell="A8">
      <selection activeCell="G30" sqref="G30"/>
    </sheetView>
  </sheetViews>
  <sheetFormatPr defaultColWidth="8.8515625" defaultRowHeight="12.75"/>
  <cols>
    <col min="1" max="1" width="20.7109375" style="0" customWidth="1"/>
    <col min="2" max="2" width="26.8515625" style="0" customWidth="1"/>
    <col min="3" max="3" width="8.8515625" style="0" customWidth="1"/>
    <col min="4" max="4" width="11.00390625" style="0" customWidth="1"/>
    <col min="5" max="5" width="14.421875" style="0" customWidth="1"/>
    <col min="6" max="6" width="15.421875" style="0" customWidth="1"/>
    <col min="7" max="7" width="17.00390625" style="0" customWidth="1"/>
    <col min="8" max="8" width="8.8515625" style="0" customWidth="1"/>
    <col min="9" max="9" width="11.8515625" style="0" customWidth="1"/>
  </cols>
  <sheetData>
    <row r="5" spans="1:10" ht="24.75" thickBot="1">
      <c r="A5" s="1" t="s">
        <v>0</v>
      </c>
      <c r="B5" s="2"/>
      <c r="C5" s="2"/>
      <c r="D5" s="2"/>
      <c r="E5" s="2"/>
      <c r="F5" s="2"/>
      <c r="G5" s="3"/>
      <c r="H5" s="4"/>
      <c r="I5" s="3"/>
      <c r="J5" s="5"/>
    </row>
    <row r="6" spans="7:10" ht="13.5" thickTop="1">
      <c r="G6" s="5"/>
      <c r="H6" s="5"/>
      <c r="I6" s="5"/>
      <c r="J6" s="5"/>
    </row>
    <row r="7" spans="3:10" ht="15.75">
      <c r="C7" s="6"/>
      <c r="D7" s="7"/>
      <c r="F7" s="8"/>
      <c r="G7" s="9"/>
      <c r="H7" s="10"/>
      <c r="I7" s="5"/>
      <c r="J7" s="5"/>
    </row>
    <row r="8" spans="1:10" ht="19.5">
      <c r="A8" s="11" t="s">
        <v>1</v>
      </c>
      <c r="B8" s="12"/>
      <c r="C8" s="13"/>
      <c r="D8" s="7"/>
      <c r="F8" s="14"/>
      <c r="G8" s="16"/>
      <c r="H8" s="5"/>
      <c r="I8" s="5"/>
      <c r="J8" s="5"/>
    </row>
    <row r="9" spans="1:10" ht="19.5">
      <c r="A9" s="11" t="s">
        <v>13</v>
      </c>
      <c r="B9" s="12"/>
      <c r="D9" s="17"/>
      <c r="E9" s="18"/>
      <c r="F9" s="22" t="s">
        <v>3</v>
      </c>
      <c r="G9" s="16"/>
      <c r="H9" s="5"/>
      <c r="I9" s="5"/>
      <c r="J9" s="5"/>
    </row>
    <row r="10" spans="1:10" ht="19.5">
      <c r="A10" s="11" t="s">
        <v>2</v>
      </c>
      <c r="B10" s="12"/>
      <c r="D10" s="17"/>
      <c r="E10" s="19"/>
      <c r="F10" s="24" t="s">
        <v>11</v>
      </c>
      <c r="H10" s="5"/>
      <c r="I10" s="5"/>
      <c r="J10" s="5"/>
    </row>
    <row r="11" spans="4:10" ht="15.75">
      <c r="D11" s="17"/>
      <c r="E11" s="19"/>
      <c r="F11" s="21"/>
      <c r="I11" s="5"/>
      <c r="J11" s="5"/>
    </row>
    <row r="12" spans="1:10" ht="16.5" thickBot="1">
      <c r="A12" s="7"/>
      <c r="D12" s="17"/>
      <c r="E12" s="23"/>
      <c r="F12" s="20"/>
      <c r="I12" s="5"/>
      <c r="J12" s="5"/>
    </row>
    <row r="13" spans="1:11" ht="16.5" thickBot="1">
      <c r="A13" s="40" t="s">
        <v>4</v>
      </c>
      <c r="B13" s="41" t="s">
        <v>4</v>
      </c>
      <c r="C13" s="42"/>
      <c r="D13" s="41" t="s">
        <v>30</v>
      </c>
      <c r="E13" s="41" t="s">
        <v>17</v>
      </c>
      <c r="F13" s="41" t="s">
        <v>5</v>
      </c>
      <c r="G13" s="43" t="s">
        <v>25</v>
      </c>
      <c r="H13" s="43" t="s">
        <v>23</v>
      </c>
      <c r="I13" s="43" t="s">
        <v>25</v>
      </c>
      <c r="J13" s="43" t="s">
        <v>25</v>
      </c>
      <c r="K13" s="43" t="s">
        <v>25</v>
      </c>
    </row>
    <row r="14" spans="1:11" ht="16.5" thickBot="1">
      <c r="A14" s="44" t="s">
        <v>6</v>
      </c>
      <c r="B14" s="45" t="s">
        <v>7</v>
      </c>
      <c r="C14" s="45" t="s">
        <v>8</v>
      </c>
      <c r="D14" s="41" t="s">
        <v>31</v>
      </c>
      <c r="E14" s="41" t="s">
        <v>35</v>
      </c>
      <c r="F14" s="45" t="s">
        <v>9</v>
      </c>
      <c r="G14" s="46" t="s">
        <v>26</v>
      </c>
      <c r="H14" s="46" t="s">
        <v>20</v>
      </c>
      <c r="I14" s="46" t="s">
        <v>24</v>
      </c>
      <c r="J14" s="46" t="s">
        <v>27</v>
      </c>
      <c r="K14" s="46" t="s">
        <v>28</v>
      </c>
    </row>
    <row r="15" spans="1:9" ht="15.75">
      <c r="A15" s="26" t="s">
        <v>42</v>
      </c>
      <c r="B15" s="26"/>
      <c r="C15" s="26">
        <v>1</v>
      </c>
      <c r="D15" s="61">
        <v>0.5557</v>
      </c>
      <c r="E15" s="67">
        <v>0.5041423529411765</v>
      </c>
      <c r="F15" s="27">
        <v>0.5851</v>
      </c>
      <c r="G15" s="68">
        <f aca="true" t="shared" si="0" ref="G15:G38">+(F15-(D15*$G$67))*100/E15</f>
        <v>5.802881517771518</v>
      </c>
      <c r="H15" s="69">
        <f>(((29.4722-29.4706)-0.0015)/D15)*100</f>
        <v>0.017995321216451997</v>
      </c>
      <c r="I15" s="75">
        <f>G15-H15</f>
        <v>5.784886196555067</v>
      </c>
    </row>
    <row r="16" spans="1:9" ht="15.75">
      <c r="A16" s="30"/>
      <c r="B16" s="30"/>
      <c r="C16" s="30">
        <v>2</v>
      </c>
      <c r="D16" s="61">
        <v>0.5241</v>
      </c>
      <c r="E16" s="67">
        <v>0.5177788235294118</v>
      </c>
      <c r="F16" s="31">
        <v>0.5556</v>
      </c>
      <c r="G16" s="68">
        <f t="shared" si="0"/>
        <v>6.057227481848084</v>
      </c>
      <c r="H16" s="69">
        <f>(((29.598-29.5961)-0.0015)/D16)*100</f>
        <v>0.07632131272641186</v>
      </c>
      <c r="I16" s="75">
        <f aca="true" t="shared" si="1" ref="I16:I38">G16-H16</f>
        <v>5.980906169121672</v>
      </c>
    </row>
    <row r="17" spans="1:11" ht="15.75">
      <c r="A17" s="30"/>
      <c r="B17" s="30"/>
      <c r="C17" s="30">
        <v>3</v>
      </c>
      <c r="D17" s="62">
        <v>0.5696</v>
      </c>
      <c r="E17" s="67">
        <v>0.5081111764705882</v>
      </c>
      <c r="F17" s="31">
        <v>0.6029</v>
      </c>
      <c r="G17" s="68">
        <f t="shared" si="0"/>
        <v>6.5243892641748955</v>
      </c>
      <c r="H17" s="69">
        <f>(((27.711-27.709)-0.0015)/D17)*100</f>
        <v>0.08778089887620989</v>
      </c>
      <c r="I17" s="75">
        <f t="shared" si="1"/>
        <v>6.436608365298685</v>
      </c>
      <c r="J17" s="72">
        <f>AVERAGE(I15:I17)</f>
        <v>6.067466910325141</v>
      </c>
      <c r="K17" s="72">
        <f>STDEV(I15:I17)</f>
        <v>0.3343725732566023</v>
      </c>
    </row>
    <row r="18" spans="1:9" ht="15.75">
      <c r="A18" s="30" t="s">
        <v>43</v>
      </c>
      <c r="B18" s="30"/>
      <c r="C18" s="30">
        <v>4</v>
      </c>
      <c r="D18" s="62">
        <v>0.5529</v>
      </c>
      <c r="E18" s="67">
        <v>0.7052737920937043</v>
      </c>
      <c r="F18" s="31">
        <v>0.5845</v>
      </c>
      <c r="G18" s="68">
        <f t="shared" si="0"/>
        <v>4.460043103262407</v>
      </c>
      <c r="H18" s="69">
        <f>(((28.9766-28.9748)-0.0015)/D18)*100</f>
        <v>0.054259359740081455</v>
      </c>
      <c r="I18" s="75">
        <f t="shared" si="1"/>
        <v>4.405783743522326</v>
      </c>
    </row>
    <row r="19" spans="1:9" ht="15.75">
      <c r="A19" s="30"/>
      <c r="B19" s="30"/>
      <c r="C19" s="30">
        <v>5</v>
      </c>
      <c r="D19" s="62">
        <v>0.563</v>
      </c>
      <c r="E19" s="67">
        <v>0.7154992679355784</v>
      </c>
      <c r="F19" s="31">
        <v>0.5937</v>
      </c>
      <c r="G19" s="68">
        <f t="shared" si="0"/>
        <v>4.270147733398953</v>
      </c>
      <c r="H19" s="69">
        <f>(((31.3261-31.324)-0.0015)/D19)*100</f>
        <v>0.1065719360566001</v>
      </c>
      <c r="I19" s="75">
        <f t="shared" si="1"/>
        <v>4.163575797342353</v>
      </c>
    </row>
    <row r="20" spans="1:11" ht="15.75">
      <c r="A20" s="30"/>
      <c r="B20" s="30"/>
      <c r="C20" s="30">
        <v>6</v>
      </c>
      <c r="D20" s="62">
        <v>0.5606</v>
      </c>
      <c r="E20" s="67">
        <v>0.7044216691068814</v>
      </c>
      <c r="F20" s="31">
        <v>0.5922</v>
      </c>
      <c r="G20" s="68">
        <f t="shared" si="0"/>
        <v>4.4651526669626715</v>
      </c>
      <c r="H20" s="69">
        <v>0</v>
      </c>
      <c r="I20" s="75">
        <f t="shared" si="1"/>
        <v>4.4651526669626715</v>
      </c>
      <c r="J20" s="72">
        <f>AVERAGE(I18:I20)</f>
        <v>4.344837402609117</v>
      </c>
      <c r="K20" s="72">
        <f>STDEV(I18:I20)</f>
        <v>0.15975917634217296</v>
      </c>
    </row>
    <row r="21" spans="1:9" ht="15.75">
      <c r="A21" s="30" t="s">
        <v>44</v>
      </c>
      <c r="B21" s="30"/>
      <c r="C21" s="30">
        <v>7</v>
      </c>
      <c r="D21" s="62">
        <v>0.5693</v>
      </c>
      <c r="E21" s="67">
        <v>0.6730585298196949</v>
      </c>
      <c r="F21" s="31">
        <v>0.6073</v>
      </c>
      <c r="G21" s="68">
        <f t="shared" si="0"/>
        <v>5.623764913049789</v>
      </c>
      <c r="H21" s="69">
        <v>0</v>
      </c>
      <c r="I21" s="75">
        <f t="shared" si="1"/>
        <v>5.623764913049789</v>
      </c>
    </row>
    <row r="22" spans="1:9" ht="15.75">
      <c r="A22" s="30"/>
      <c r="B22" s="30"/>
      <c r="C22" s="30">
        <v>8</v>
      </c>
      <c r="D22" s="62">
        <v>0.57</v>
      </c>
      <c r="E22" s="67">
        <v>0.6679514563106796</v>
      </c>
      <c r="F22" s="31">
        <v>0.601</v>
      </c>
      <c r="G22" s="68">
        <f t="shared" si="0"/>
        <v>4.618755783445986</v>
      </c>
      <c r="H22" s="69">
        <f>(((25.9483-25.9468)-0.0015)/D22)*100</f>
        <v>9.967051550568497E-15</v>
      </c>
      <c r="I22" s="75">
        <f t="shared" si="1"/>
        <v>4.618755783445976</v>
      </c>
    </row>
    <row r="23" spans="1:11" ht="15.75">
      <c r="A23" s="30"/>
      <c r="B23" s="30"/>
      <c r="C23" s="30">
        <v>9</v>
      </c>
      <c r="D23" s="62">
        <v>0.5638</v>
      </c>
      <c r="E23" s="67">
        <v>0.6741337031900141</v>
      </c>
      <c r="F23" s="31">
        <v>0.6035</v>
      </c>
      <c r="G23" s="68">
        <f t="shared" si="0"/>
        <v>5.867184288154695</v>
      </c>
      <c r="H23" s="69">
        <f>(((30.8448-30.8411)-0.0015)/D23)*100</f>
        <v>0.39020929407564425</v>
      </c>
      <c r="I23" s="75">
        <f t="shared" si="1"/>
        <v>5.47697499407905</v>
      </c>
      <c r="J23" s="72">
        <f>AVERAGE(I21:I23)</f>
        <v>5.239831896858272</v>
      </c>
      <c r="K23" s="72">
        <f>STDEV(I21:I23)</f>
        <v>0.5428521659405545</v>
      </c>
    </row>
    <row r="24" spans="1:9" ht="15.75">
      <c r="A24" s="30" t="s">
        <v>39</v>
      </c>
      <c r="B24" s="30"/>
      <c r="C24" s="30">
        <v>10</v>
      </c>
      <c r="D24" s="62">
        <v>0.5646</v>
      </c>
      <c r="E24" s="67">
        <v>0.49636405005688283</v>
      </c>
      <c r="F24" s="31">
        <v>0.5967</v>
      </c>
      <c r="G24" s="68">
        <f t="shared" si="0"/>
        <v>6.437302954059818</v>
      </c>
      <c r="H24" s="69">
        <f>(((16.1903-16.1888)-0.0015)/D24)*100</f>
        <v>1.0062379354984136E-14</v>
      </c>
      <c r="I24" s="75">
        <f t="shared" si="1"/>
        <v>6.437302954059808</v>
      </c>
    </row>
    <row r="25" spans="1:9" ht="15.75">
      <c r="A25" s="30"/>
      <c r="B25" s="30"/>
      <c r="C25" s="30">
        <v>11</v>
      </c>
      <c r="D25" s="62">
        <v>0.5735</v>
      </c>
      <c r="E25" s="67">
        <v>0.497164960182025</v>
      </c>
      <c r="F25" s="31">
        <v>0.6082</v>
      </c>
      <c r="G25" s="68">
        <f t="shared" si="0"/>
        <v>6.949430201129531</v>
      </c>
      <c r="H25" s="69">
        <f>(((18.1122-18.1104)-0.0015)/D25)*100</f>
        <v>0.05231037489152752</v>
      </c>
      <c r="I25" s="75">
        <f t="shared" si="1"/>
        <v>6.897119826238003</v>
      </c>
    </row>
    <row r="26" spans="1:11" ht="15.75">
      <c r="A26" s="30"/>
      <c r="B26" s="30"/>
      <c r="C26" s="30">
        <v>12</v>
      </c>
      <c r="D26" s="62">
        <v>0.6028</v>
      </c>
      <c r="E26" s="67">
        <v>0.4957633674630261</v>
      </c>
      <c r="F26" s="31">
        <v>0.6348</v>
      </c>
      <c r="G26" s="68">
        <f t="shared" si="0"/>
        <v>6.422918119929246</v>
      </c>
      <c r="H26" s="69">
        <f>(((17.4969-17.4949)-0.0015)/D26)*100</f>
        <v>0.08294625082927862</v>
      </c>
      <c r="I26" s="75">
        <f t="shared" si="1"/>
        <v>6.339971869099967</v>
      </c>
      <c r="J26" s="72">
        <f>AVERAGE(I24:I26)</f>
        <v>6.558131549799259</v>
      </c>
      <c r="K26" s="72">
        <f>STDEV(I24:I26)</f>
        <v>0.2975787688949727</v>
      </c>
    </row>
    <row r="27" spans="1:9" ht="15.75">
      <c r="A27" s="30" t="s">
        <v>40</v>
      </c>
      <c r="B27" s="30"/>
      <c r="C27" s="30">
        <v>13</v>
      </c>
      <c r="D27" s="87">
        <v>0.5902</v>
      </c>
      <c r="E27" s="67">
        <v>0.7091181818181819</v>
      </c>
      <c r="F27" s="31">
        <v>0.6245</v>
      </c>
      <c r="G27" s="68">
        <f t="shared" si="0"/>
        <v>4.815243592979228</v>
      </c>
      <c r="H27" s="69">
        <v>0</v>
      </c>
      <c r="I27" s="75">
        <f t="shared" si="1"/>
        <v>4.815243592979228</v>
      </c>
    </row>
    <row r="28" spans="1:9" ht="15.75">
      <c r="A28" s="30"/>
      <c r="B28" s="30"/>
      <c r="C28" s="30">
        <v>14</v>
      </c>
      <c r="D28" s="62">
        <v>0.5846</v>
      </c>
      <c r="E28" s="67">
        <v>0.7108403874813711</v>
      </c>
      <c r="F28" s="31">
        <v>0.6153</v>
      </c>
      <c r="G28" s="68">
        <f t="shared" si="0"/>
        <v>4.297340409638997</v>
      </c>
      <c r="H28" s="69">
        <f>(((26.0711-26.0694)-0.0015)/D28)*100</f>
        <v>0.0342114266164199</v>
      </c>
      <c r="I28" s="75">
        <f t="shared" si="1"/>
        <v>4.263128983022577</v>
      </c>
    </row>
    <row r="29" spans="1:11" ht="15.75">
      <c r="A29" s="30"/>
      <c r="B29" s="30"/>
      <c r="C29" s="30">
        <v>15</v>
      </c>
      <c r="D29" s="62">
        <v>0.5971</v>
      </c>
      <c r="E29" s="67">
        <v>0.7091181818181819</v>
      </c>
      <c r="F29" s="31">
        <v>0.6279</v>
      </c>
      <c r="G29" s="68">
        <f t="shared" si="0"/>
        <v>4.321418556353085</v>
      </c>
      <c r="H29" s="69">
        <f>(((29.3841-29.3825)-0.0015)/D29)*100</f>
        <v>0.01674761346505171</v>
      </c>
      <c r="I29" s="75">
        <f t="shared" si="1"/>
        <v>4.304670942888033</v>
      </c>
      <c r="J29" s="72">
        <f>AVERAGE(I27:I29)</f>
        <v>4.461014506296613</v>
      </c>
      <c r="K29" s="72">
        <f>STDEV(I27:I29)</f>
        <v>0.3074737679808891</v>
      </c>
    </row>
    <row r="30" spans="1:9" ht="15.75">
      <c r="A30" s="30" t="s">
        <v>41</v>
      </c>
      <c r="B30" s="30"/>
      <c r="C30" s="30">
        <v>16</v>
      </c>
      <c r="D30" s="62">
        <v>0.5722</v>
      </c>
      <c r="E30" s="67">
        <v>0.7046647826086957</v>
      </c>
      <c r="F30" s="31">
        <v>0.6055</v>
      </c>
      <c r="G30" s="68">
        <f t="shared" si="0"/>
        <v>4.704431444418787</v>
      </c>
      <c r="H30" s="69">
        <f>(((24.0327-24.0312)-0.0015)/D30)*100</f>
        <v>9.928730136008465E-15</v>
      </c>
      <c r="I30" s="75">
        <f t="shared" si="1"/>
        <v>4.704431444418777</v>
      </c>
    </row>
    <row r="31" spans="1:9" ht="15.75">
      <c r="A31" s="30"/>
      <c r="B31" s="30"/>
      <c r="C31" s="30">
        <v>17</v>
      </c>
      <c r="D31" s="62">
        <v>0.5897</v>
      </c>
      <c r="E31" s="67">
        <v>0.6930808695652173</v>
      </c>
      <c r="F31" s="31">
        <v>0.6222</v>
      </c>
      <c r="G31" s="68">
        <f t="shared" si="0"/>
        <v>4.666973205867035</v>
      </c>
      <c r="H31" s="69">
        <f>(((18.7883-18.7864)-0.0015)/D31)*100</f>
        <v>0.06783110055945812</v>
      </c>
      <c r="I31" s="75">
        <f t="shared" si="1"/>
        <v>4.5991421053075765</v>
      </c>
    </row>
    <row r="32" spans="1:11" ht="15.75">
      <c r="A32" s="30"/>
      <c r="B32" s="30"/>
      <c r="C32" s="30">
        <v>18</v>
      </c>
      <c r="D32" s="62">
        <v>0.5565</v>
      </c>
      <c r="E32" s="67">
        <v>0.7056417391304348</v>
      </c>
      <c r="F32" s="31">
        <v>0.5959</v>
      </c>
      <c r="G32" s="68">
        <f t="shared" si="0"/>
        <v>5.562960945725572</v>
      </c>
      <c r="H32" s="69">
        <f>(((16.8724-16.8705)-0.0015)/D32)*100</f>
        <v>0.07187780772670703</v>
      </c>
      <c r="I32" s="75">
        <f t="shared" si="1"/>
        <v>5.491083137998865</v>
      </c>
      <c r="J32" s="72">
        <f>AVERAGE(I30:I32)</f>
        <v>4.931552229241739</v>
      </c>
      <c r="K32" s="72">
        <f>STDEV(I30:I32)</f>
        <v>0.48741931601399385</v>
      </c>
    </row>
    <row r="33" spans="1:9" ht="15.75">
      <c r="A33" s="30" t="s">
        <v>38</v>
      </c>
      <c r="B33" s="30"/>
      <c r="C33" s="30">
        <v>19</v>
      </c>
      <c r="D33" s="62">
        <v>0.5827</v>
      </c>
      <c r="E33" s="67">
        <v>0.5410444177671069</v>
      </c>
      <c r="F33" s="31">
        <v>0.614</v>
      </c>
      <c r="G33" s="68">
        <f t="shared" si="0"/>
        <v>5.756963145359075</v>
      </c>
      <c r="H33" s="69">
        <f>(((25.5774-25.5759)-0.0015)/D33)*100</f>
        <v>9.74981874690929E-15</v>
      </c>
      <c r="I33" s="75">
        <f t="shared" si="1"/>
        <v>5.756963145359065</v>
      </c>
    </row>
    <row r="34" spans="1:9" ht="15.75">
      <c r="A34" s="65"/>
      <c r="B34" s="30"/>
      <c r="C34" s="30">
        <v>20</v>
      </c>
      <c r="D34" s="62">
        <v>0.5768</v>
      </c>
      <c r="E34" s="67">
        <v>0.5427827130852341</v>
      </c>
      <c r="F34" s="31">
        <v>0.608</v>
      </c>
      <c r="G34" s="68">
        <f t="shared" si="0"/>
        <v>5.720386589612863</v>
      </c>
      <c r="H34" s="69">
        <f>(((28.3868-28.3852)-0.0015)/D34)*100</f>
        <v>0.01733703190010814</v>
      </c>
      <c r="I34" s="75">
        <f t="shared" si="1"/>
        <v>5.703049557712755</v>
      </c>
    </row>
    <row r="35" spans="1:11" ht="15.75">
      <c r="A35" s="65"/>
      <c r="B35" s="30"/>
      <c r="C35" s="30">
        <v>21</v>
      </c>
      <c r="D35" s="62">
        <v>0.562</v>
      </c>
      <c r="E35" s="67">
        <v>0.5422394957983193</v>
      </c>
      <c r="F35" s="31">
        <v>0.5962</v>
      </c>
      <c r="G35" s="68">
        <f t="shared" si="0"/>
        <v>6.2800916122862676</v>
      </c>
      <c r="H35" s="69">
        <f>(((28.8087-28.8066)-0.0015)/D35)*100</f>
        <v>0.10676156583669237</v>
      </c>
      <c r="I35" s="75">
        <f t="shared" si="1"/>
        <v>6.173330046449575</v>
      </c>
      <c r="J35" s="72">
        <f>AVERAGE(I33:I35)</f>
        <v>5.877780916507132</v>
      </c>
      <c r="K35" s="72">
        <f>STDEV(I33:I35)</f>
        <v>0.2573686750374362</v>
      </c>
    </row>
    <row r="36" spans="1:9" ht="15.75">
      <c r="A36" s="65"/>
      <c r="B36" s="30"/>
      <c r="C36" s="30">
        <v>22</v>
      </c>
      <c r="D36" s="67"/>
      <c r="E36" s="67"/>
      <c r="F36" s="31"/>
      <c r="G36" s="68" t="e">
        <f t="shared" si="0"/>
        <v>#DIV/0!</v>
      </c>
      <c r="H36" s="69"/>
      <c r="I36" s="75" t="e">
        <f>G36-H36</f>
        <v>#DIV/0!</v>
      </c>
    </row>
    <row r="37" spans="1:9" ht="15.75">
      <c r="A37" s="65"/>
      <c r="B37" s="30"/>
      <c r="C37" s="30">
        <v>23</v>
      </c>
      <c r="D37" s="67"/>
      <c r="E37" s="67"/>
      <c r="F37" s="31"/>
      <c r="G37" s="68" t="e">
        <f t="shared" si="0"/>
        <v>#DIV/0!</v>
      </c>
      <c r="H37" s="69"/>
      <c r="I37" s="75" t="e">
        <f>G37-H37</f>
        <v>#DIV/0!</v>
      </c>
    </row>
    <row r="38" spans="1:11" ht="15.75">
      <c r="A38" s="65"/>
      <c r="B38" s="30"/>
      <c r="C38" s="30">
        <v>24</v>
      </c>
      <c r="D38" s="67"/>
      <c r="E38" s="67"/>
      <c r="F38" s="31"/>
      <c r="G38" s="68" t="e">
        <f t="shared" si="0"/>
        <v>#DIV/0!</v>
      </c>
      <c r="H38" s="69"/>
      <c r="I38" s="75" t="e">
        <f t="shared" si="1"/>
        <v>#DIV/0!</v>
      </c>
      <c r="J38" s="72" t="e">
        <f>AVERAGE(I36:I38)</f>
        <v>#DIV/0!</v>
      </c>
      <c r="K38" s="72" t="e">
        <f>STDEV(I36:I38)</f>
        <v>#DIV/0!</v>
      </c>
    </row>
    <row r="47" ht="12.75">
      <c r="A47" s="37"/>
    </row>
    <row r="64" spans="2:7" ht="15.75">
      <c r="B64" s="55"/>
      <c r="C64" s="55"/>
      <c r="D64" s="56" t="s">
        <v>14</v>
      </c>
      <c r="E64" s="57"/>
      <c r="F64" s="58" t="s">
        <v>15</v>
      </c>
      <c r="G64" s="59" t="s">
        <v>16</v>
      </c>
    </row>
    <row r="65" spans="2:7" ht="15.75">
      <c r="B65" s="36" t="s">
        <v>12</v>
      </c>
      <c r="C65" s="26">
        <v>23</v>
      </c>
      <c r="D65" s="28">
        <v>0.5789</v>
      </c>
      <c r="E65" s="39"/>
      <c r="F65" s="28">
        <v>0.5793</v>
      </c>
      <c r="G65" s="28">
        <f>F65/D65</f>
        <v>1.0006909656244602</v>
      </c>
    </row>
    <row r="66" spans="2:7" ht="15.75">
      <c r="B66" s="36" t="s">
        <v>12</v>
      </c>
      <c r="C66" s="30">
        <v>24</v>
      </c>
      <c r="D66" s="32">
        <v>0.5941</v>
      </c>
      <c r="E66" s="39"/>
      <c r="F66" s="32">
        <v>0.594</v>
      </c>
      <c r="G66" s="28">
        <f>F66/D66</f>
        <v>0.9998316781686585</v>
      </c>
    </row>
    <row r="67" spans="2:7" ht="15.75">
      <c r="B67" s="37"/>
      <c r="C67" s="37"/>
      <c r="D67" s="37"/>
      <c r="E67" s="37"/>
      <c r="F67" s="37"/>
      <c r="G67" s="38">
        <f>AVERAGE(G65:G66)</f>
        <v>1.0002613218965593</v>
      </c>
    </row>
  </sheetData>
  <sheetProtection/>
  <printOptions horizontalCentered="1" verticalCentered="1"/>
  <pageMargins left="0.25" right="0.25" top="0.5" bottom="0.27" header="0.5" footer="0.36"/>
  <pageSetup fitToHeight="1" fitToWidth="1" horizontalDpi="600" verticalDpi="600" orientation="landscape" scale="85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7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20.7109375" style="0" customWidth="1"/>
    <col min="2" max="2" width="26.8515625" style="0" customWidth="1"/>
    <col min="3" max="3" width="8.8515625" style="0" customWidth="1"/>
    <col min="4" max="4" width="11.00390625" style="0" customWidth="1"/>
    <col min="5" max="5" width="14.421875" style="0" customWidth="1"/>
    <col min="6" max="6" width="15.421875" style="0" customWidth="1"/>
    <col min="7" max="7" width="17.00390625" style="0" customWidth="1"/>
    <col min="8" max="8" width="8.8515625" style="0" customWidth="1"/>
    <col min="9" max="9" width="11.8515625" style="0" customWidth="1"/>
  </cols>
  <sheetData>
    <row r="5" spans="1:10" ht="24.75" thickBot="1">
      <c r="A5" s="1" t="s">
        <v>0</v>
      </c>
      <c r="B5" s="2"/>
      <c r="C5" s="2"/>
      <c r="D5" s="2"/>
      <c r="E5" s="2"/>
      <c r="F5" s="2"/>
      <c r="G5" s="3"/>
      <c r="H5" s="4"/>
      <c r="I5" s="3"/>
      <c r="J5" s="5"/>
    </row>
    <row r="6" spans="7:10" ht="13.5" thickTop="1">
      <c r="G6" s="5"/>
      <c r="H6" s="5"/>
      <c r="I6" s="5"/>
      <c r="J6" s="5"/>
    </row>
    <row r="7" spans="3:10" ht="15.75">
      <c r="C7" s="6"/>
      <c r="D7" s="7"/>
      <c r="F7" s="8"/>
      <c r="G7" s="9"/>
      <c r="H7" s="10"/>
      <c r="I7" s="5"/>
      <c r="J7" s="5"/>
    </row>
    <row r="8" spans="1:10" ht="19.5">
      <c r="A8" s="11" t="s">
        <v>1</v>
      </c>
      <c r="B8" s="12"/>
      <c r="C8" s="13"/>
      <c r="D8" s="7"/>
      <c r="F8" s="14"/>
      <c r="G8" s="16"/>
      <c r="H8" s="5"/>
      <c r="I8" s="5"/>
      <c r="J8" s="5"/>
    </row>
    <row r="9" spans="1:10" ht="19.5">
      <c r="A9" s="11" t="s">
        <v>13</v>
      </c>
      <c r="B9" s="12"/>
      <c r="D9" s="17"/>
      <c r="E9" s="18"/>
      <c r="F9" s="22" t="s">
        <v>3</v>
      </c>
      <c r="G9" s="16"/>
      <c r="H9" s="5"/>
      <c r="I9" s="5"/>
      <c r="J9" s="5"/>
    </row>
    <row r="10" spans="1:10" ht="19.5">
      <c r="A10" s="11" t="s">
        <v>2</v>
      </c>
      <c r="B10" s="12"/>
      <c r="D10" s="17"/>
      <c r="E10" s="19"/>
      <c r="F10" s="24" t="s">
        <v>11</v>
      </c>
      <c r="H10" s="5"/>
      <c r="I10" s="5"/>
      <c r="J10" s="5"/>
    </row>
    <row r="11" spans="4:10" ht="15.75">
      <c r="D11" s="17"/>
      <c r="E11" s="19"/>
      <c r="F11" s="21"/>
      <c r="I11" s="5"/>
      <c r="J11" s="5"/>
    </row>
    <row r="12" spans="1:10" ht="16.5" thickBot="1">
      <c r="A12" s="7"/>
      <c r="D12" s="17"/>
      <c r="E12" s="23"/>
      <c r="F12" s="20"/>
      <c r="I12" s="5"/>
      <c r="J12" s="5"/>
    </row>
    <row r="13" spans="1:11" ht="16.5" thickBot="1">
      <c r="A13" s="40" t="s">
        <v>4</v>
      </c>
      <c r="B13" s="41" t="s">
        <v>4</v>
      </c>
      <c r="C13" s="42"/>
      <c r="D13" s="41" t="s">
        <v>30</v>
      </c>
      <c r="E13" s="41" t="s">
        <v>17</v>
      </c>
      <c r="F13" s="41" t="s">
        <v>5</v>
      </c>
      <c r="G13" s="43" t="s">
        <v>36</v>
      </c>
      <c r="H13" s="43" t="s">
        <v>23</v>
      </c>
      <c r="I13" s="43" t="s">
        <v>36</v>
      </c>
      <c r="J13" s="43" t="s">
        <v>36</v>
      </c>
      <c r="K13" s="43" t="s">
        <v>36</v>
      </c>
    </row>
    <row r="14" spans="1:11" ht="16.5" thickBot="1">
      <c r="A14" s="44" t="s">
        <v>6</v>
      </c>
      <c r="B14" s="45" t="s">
        <v>7</v>
      </c>
      <c r="C14" s="45" t="s">
        <v>8</v>
      </c>
      <c r="D14" s="41" t="s">
        <v>31</v>
      </c>
      <c r="E14" s="41" t="s">
        <v>35</v>
      </c>
      <c r="F14" s="45" t="s">
        <v>9</v>
      </c>
      <c r="G14" s="46" t="s">
        <v>26</v>
      </c>
      <c r="H14" s="46" t="s">
        <v>20</v>
      </c>
      <c r="I14" s="46" t="s">
        <v>24</v>
      </c>
      <c r="J14" s="46" t="s">
        <v>27</v>
      </c>
      <c r="K14" s="46" t="s">
        <v>28</v>
      </c>
    </row>
    <row r="15" spans="1:9" ht="15.75">
      <c r="A15" s="64"/>
      <c r="B15" s="26"/>
      <c r="C15" s="26">
        <v>1</v>
      </c>
      <c r="D15" s="66">
        <f>FND!D15</f>
        <v>0.5557</v>
      </c>
      <c r="E15" s="67">
        <f>FND!I15</f>
        <v>0.5041423529411765</v>
      </c>
      <c r="F15" s="27">
        <v>0.6118</v>
      </c>
      <c r="G15" s="68">
        <f aca="true" t="shared" si="0" ref="G15:G38">+(F15-(D15*$G$43))*100/E15</f>
        <v>17.62069932622936</v>
      </c>
      <c r="H15" s="69">
        <f>FND!M15</f>
        <v>0</v>
      </c>
      <c r="I15" s="75">
        <f>G15-H15</f>
        <v>17.62069932622936</v>
      </c>
    </row>
    <row r="16" spans="1:9" ht="15.75">
      <c r="A16" s="65"/>
      <c r="B16" s="30"/>
      <c r="C16" s="30">
        <v>2</v>
      </c>
      <c r="D16" s="67">
        <f>FND!D16</f>
        <v>0.5241</v>
      </c>
      <c r="E16" s="67">
        <f>FND!I16</f>
        <v>0.5177788235294118</v>
      </c>
      <c r="F16" s="31"/>
      <c r="G16" s="68">
        <f t="shared" si="0"/>
        <v>-95.25843114744019</v>
      </c>
      <c r="H16" s="69">
        <f>FND!M16</f>
        <v>0</v>
      </c>
      <c r="I16" s="75">
        <f aca="true" t="shared" si="1" ref="I16:I38">G16-H16</f>
        <v>-95.25843114744019</v>
      </c>
    </row>
    <row r="17" spans="1:11" ht="15.75">
      <c r="A17" s="65"/>
      <c r="B17" s="30"/>
      <c r="C17" s="30">
        <v>3</v>
      </c>
      <c r="D17" s="67">
        <f>FND!D17</f>
        <v>0.5696</v>
      </c>
      <c r="E17" s="67">
        <f>FND!I17</f>
        <v>0.5081111764705882</v>
      </c>
      <c r="F17" s="31"/>
      <c r="G17" s="68">
        <f t="shared" si="0"/>
        <v>-105.49813498389787</v>
      </c>
      <c r="H17" s="69">
        <f>FND!M17</f>
        <v>0</v>
      </c>
      <c r="I17" s="75">
        <f t="shared" si="1"/>
        <v>-105.49813498389787</v>
      </c>
      <c r="J17" s="72">
        <f>AVERAGE(I15:I17)</f>
        <v>-61.04528893503624</v>
      </c>
      <c r="K17" s="72">
        <f>STDEV(I15:I17)</f>
        <v>68.31885658810292</v>
      </c>
    </row>
    <row r="18" spans="1:9" ht="15.75">
      <c r="A18" s="65"/>
      <c r="B18" s="30"/>
      <c r="C18" s="30">
        <v>4</v>
      </c>
      <c r="D18" s="67">
        <f>FND!D18</f>
        <v>0.5529</v>
      </c>
      <c r="E18" s="67">
        <f>FND!I18</f>
        <v>0.7052737920937043</v>
      </c>
      <c r="F18" s="31"/>
      <c r="G18" s="68">
        <f t="shared" si="0"/>
        <v>-73.77723816476134</v>
      </c>
      <c r="H18" s="69">
        <f>FND!M18</f>
        <v>0</v>
      </c>
      <c r="I18" s="75">
        <f t="shared" si="1"/>
        <v>-73.77723816476134</v>
      </c>
    </row>
    <row r="19" spans="1:9" ht="15.75">
      <c r="A19" s="65"/>
      <c r="B19" s="30"/>
      <c r="C19" s="30">
        <v>5</v>
      </c>
      <c r="D19" s="67">
        <f>FND!D19</f>
        <v>0.563</v>
      </c>
      <c r="E19" s="67">
        <f>FND!I19</f>
        <v>0.7154992679355784</v>
      </c>
      <c r="F19" s="31"/>
      <c r="G19" s="68">
        <f t="shared" si="0"/>
        <v>-74.05131079428584</v>
      </c>
      <c r="H19" s="69">
        <f>FND!M19</f>
        <v>0</v>
      </c>
      <c r="I19" s="75">
        <f t="shared" si="1"/>
        <v>-74.05131079428584</v>
      </c>
    </row>
    <row r="20" spans="1:11" ht="15.75">
      <c r="A20" s="65"/>
      <c r="B20" s="30"/>
      <c r="C20" s="30">
        <v>6</v>
      </c>
      <c r="D20" s="67">
        <f>FND!D20</f>
        <v>0.5606</v>
      </c>
      <c r="E20" s="67">
        <f>FND!I20</f>
        <v>0.7044216691068814</v>
      </c>
      <c r="F20" s="31"/>
      <c r="G20" s="68">
        <f t="shared" si="0"/>
        <v>-74.89519152150481</v>
      </c>
      <c r="H20" s="69">
        <f>FND!M20</f>
        <v>0</v>
      </c>
      <c r="I20" s="75">
        <f t="shared" si="1"/>
        <v>-74.89519152150481</v>
      </c>
      <c r="J20" s="72">
        <f>AVERAGE(I18:I20)</f>
        <v>-74.24124682685066</v>
      </c>
      <c r="K20" s="72">
        <f>STDEV(I18:I20)</f>
        <v>0.5826763246549048</v>
      </c>
    </row>
    <row r="21" spans="1:9" ht="15.75">
      <c r="A21" s="65"/>
      <c r="B21" s="30"/>
      <c r="C21" s="30">
        <v>7</v>
      </c>
      <c r="D21" s="67">
        <f>FND!D21</f>
        <v>0.5693</v>
      </c>
      <c r="E21" s="67">
        <f>FND!I21</f>
        <v>0.6730585298196949</v>
      </c>
      <c r="F21" s="31"/>
      <c r="G21" s="68">
        <f t="shared" si="0"/>
        <v>-79.60161895735635</v>
      </c>
      <c r="H21" s="69">
        <f>FND!M21</f>
        <v>0</v>
      </c>
      <c r="I21" s="75">
        <f t="shared" si="1"/>
        <v>-79.60161895735635</v>
      </c>
    </row>
    <row r="22" spans="1:9" ht="15.75">
      <c r="A22" s="65"/>
      <c r="B22" s="30"/>
      <c r="C22" s="30">
        <v>8</v>
      </c>
      <c r="D22" s="67">
        <f>FND!D22</f>
        <v>0.57</v>
      </c>
      <c r="E22" s="67">
        <f>FND!I22</f>
        <v>0.6679514563106796</v>
      </c>
      <c r="F22" s="31"/>
      <c r="G22" s="68">
        <f t="shared" si="0"/>
        <v>-80.30886793125205</v>
      </c>
      <c r="H22" s="69">
        <f>FND!M22</f>
        <v>0</v>
      </c>
      <c r="I22" s="75">
        <f t="shared" si="1"/>
        <v>-80.30886793125205</v>
      </c>
    </row>
    <row r="23" spans="1:11" ht="15.75">
      <c r="A23" s="65"/>
      <c r="B23" s="30"/>
      <c r="C23" s="30">
        <v>9</v>
      </c>
      <c r="D23" s="67">
        <f>FND!D23</f>
        <v>0.5638</v>
      </c>
      <c r="E23" s="67">
        <f>FND!I23</f>
        <v>0.6741337031900141</v>
      </c>
      <c r="F23" s="31"/>
      <c r="G23" s="68">
        <f t="shared" si="0"/>
        <v>-78.70685893072354</v>
      </c>
      <c r="H23" s="69">
        <f>FND!M23</f>
        <v>0</v>
      </c>
      <c r="I23" s="75">
        <f t="shared" si="1"/>
        <v>-78.70685893072354</v>
      </c>
      <c r="J23" s="72">
        <f>AVERAGE(I21:I23)</f>
        <v>-79.53911527311065</v>
      </c>
      <c r="K23" s="72">
        <f>STDEV(I21:I23)</f>
        <v>0.8028313909855572</v>
      </c>
    </row>
    <row r="24" spans="1:9" ht="15.75">
      <c r="A24" s="65"/>
      <c r="B24" s="30"/>
      <c r="C24" s="30">
        <v>10</v>
      </c>
      <c r="D24" s="67">
        <f>FND!D24</f>
        <v>0.5646</v>
      </c>
      <c r="E24" s="67">
        <f>FND!I24</f>
        <v>0.49636405005688283</v>
      </c>
      <c r="F24" s="31"/>
      <c r="G24" s="68">
        <f t="shared" si="0"/>
        <v>-107.04690213921566</v>
      </c>
      <c r="H24" s="69">
        <f>FND!M24</f>
        <v>0</v>
      </c>
      <c r="I24" s="75">
        <f t="shared" si="1"/>
        <v>-107.04690213921566</v>
      </c>
    </row>
    <row r="25" spans="1:9" ht="15.75">
      <c r="A25" s="65"/>
      <c r="B25" s="30"/>
      <c r="C25" s="30">
        <v>11</v>
      </c>
      <c r="D25" s="67">
        <f>FND!D25</f>
        <v>0.5735</v>
      </c>
      <c r="E25" s="67">
        <f>FND!I25</f>
        <v>0.497164960182025</v>
      </c>
      <c r="F25" s="31"/>
      <c r="G25" s="68">
        <f t="shared" si="0"/>
        <v>-108.55915626628541</v>
      </c>
      <c r="H25" s="69">
        <f>FND!M25</f>
        <v>0</v>
      </c>
      <c r="I25" s="75">
        <f t="shared" si="1"/>
        <v>-108.55915626628541</v>
      </c>
    </row>
    <row r="26" spans="1:11" ht="15.75">
      <c r="A26" s="65"/>
      <c r="B26" s="30"/>
      <c r="C26" s="30">
        <v>12</v>
      </c>
      <c r="D26" s="67">
        <f>FND!D26</f>
        <v>0.6028</v>
      </c>
      <c r="E26" s="67">
        <f>FND!I26</f>
        <v>0.4957633674630261</v>
      </c>
      <c r="F26" s="31"/>
      <c r="G26" s="68">
        <f t="shared" si="0"/>
        <v>-114.42801385614912</v>
      </c>
      <c r="H26" s="69">
        <f>FND!M26</f>
        <v>0</v>
      </c>
      <c r="I26" s="75">
        <f t="shared" si="1"/>
        <v>-114.42801385614912</v>
      </c>
      <c r="J26" s="72">
        <f>AVERAGE(I24:I26)</f>
        <v>-110.01135742055006</v>
      </c>
      <c r="K26" s="72">
        <f>STDEV(I24:I26)</f>
        <v>3.8989573848400547</v>
      </c>
    </row>
    <row r="27" spans="1:9" ht="15.75">
      <c r="A27" s="65"/>
      <c r="B27" s="30"/>
      <c r="C27" s="30">
        <v>13</v>
      </c>
      <c r="D27" s="67">
        <f>FND!D28</f>
        <v>0.5846</v>
      </c>
      <c r="E27" s="67">
        <f>FND!I27</f>
        <v>0.7091181818181819</v>
      </c>
      <c r="F27" s="31"/>
      <c r="G27" s="68">
        <f t="shared" si="0"/>
        <v>-77.58428096122297</v>
      </c>
      <c r="H27" s="69">
        <f>FND!M27</f>
        <v>0</v>
      </c>
      <c r="I27" s="75">
        <f t="shared" si="1"/>
        <v>-77.58428096122297</v>
      </c>
    </row>
    <row r="28" spans="1:9" ht="15.75">
      <c r="A28" s="65"/>
      <c r="B28" s="30"/>
      <c r="C28" s="30">
        <v>14</v>
      </c>
      <c r="D28" s="67">
        <f>FND!D29</f>
        <v>0.5971</v>
      </c>
      <c r="E28" s="67">
        <f>FND!I28</f>
        <v>0.7108403874813711</v>
      </c>
      <c r="F28" s="31"/>
      <c r="G28" s="68">
        <f t="shared" si="0"/>
        <v>-79.05121067703755</v>
      </c>
      <c r="H28" s="69">
        <f>FND!M28</f>
        <v>0</v>
      </c>
      <c r="I28" s="75">
        <f t="shared" si="1"/>
        <v>-79.05121067703755</v>
      </c>
    </row>
    <row r="29" spans="1:11" ht="15.75">
      <c r="A29" s="65"/>
      <c r="B29" s="30"/>
      <c r="C29" s="30">
        <v>15</v>
      </c>
      <c r="D29" s="67" t="e">
        <f>FND!#REF!</f>
        <v>#REF!</v>
      </c>
      <c r="E29" s="67">
        <f>FND!I29</f>
        <v>0.7091181818181819</v>
      </c>
      <c r="F29" s="31"/>
      <c r="G29" s="68" t="e">
        <f t="shared" si="0"/>
        <v>#REF!</v>
      </c>
      <c r="H29" s="69">
        <f>FND!M29</f>
        <v>0</v>
      </c>
      <c r="I29" s="75" t="e">
        <f t="shared" si="1"/>
        <v>#REF!</v>
      </c>
      <c r="J29" s="72" t="e">
        <f>AVERAGE(I27:I29)</f>
        <v>#REF!</v>
      </c>
      <c r="K29" s="72" t="e">
        <f>STDEV(I27:I29)</f>
        <v>#REF!</v>
      </c>
    </row>
    <row r="30" spans="1:9" ht="15.75">
      <c r="A30" s="65"/>
      <c r="B30" s="30"/>
      <c r="C30" s="30">
        <v>16</v>
      </c>
      <c r="D30" s="67">
        <f>FND!D30</f>
        <v>0.5722</v>
      </c>
      <c r="E30" s="67">
        <f>FND!I30</f>
        <v>0.7046647826086957</v>
      </c>
      <c r="F30" s="31"/>
      <c r="G30" s="68">
        <f t="shared" si="0"/>
        <v>-76.4185575298688</v>
      </c>
      <c r="H30" s="69">
        <f>FND!M30</f>
        <v>0</v>
      </c>
      <c r="I30" s="75">
        <f t="shared" si="1"/>
        <v>-76.4185575298688</v>
      </c>
    </row>
    <row r="31" spans="1:9" ht="15.75">
      <c r="A31" s="65"/>
      <c r="B31" s="30"/>
      <c r="C31" s="30">
        <v>17</v>
      </c>
      <c r="D31" s="67">
        <f>FND!D31</f>
        <v>0.5897</v>
      </c>
      <c r="E31" s="67">
        <f>FND!I31</f>
        <v>0.6930808695652173</v>
      </c>
      <c r="F31" s="31"/>
      <c r="G31" s="68">
        <f t="shared" si="0"/>
        <v>-80.07201645858423</v>
      </c>
      <c r="H31" s="69">
        <f>FND!M31</f>
        <v>0</v>
      </c>
      <c r="I31" s="75">
        <f t="shared" si="1"/>
        <v>-80.07201645858423</v>
      </c>
    </row>
    <row r="32" spans="1:11" ht="15.75">
      <c r="A32" s="65"/>
      <c r="B32" s="30"/>
      <c r="C32" s="30">
        <v>18</v>
      </c>
      <c r="D32" s="67">
        <f>FND!D32</f>
        <v>0.5565</v>
      </c>
      <c r="E32" s="67">
        <f>FND!I32</f>
        <v>0.7056417391304348</v>
      </c>
      <c r="F32" s="31"/>
      <c r="G32" s="68">
        <f t="shared" si="0"/>
        <v>-74.21889025468516</v>
      </c>
      <c r="H32" s="69">
        <f>FND!M32</f>
        <v>0</v>
      </c>
      <c r="I32" s="75">
        <f t="shared" si="1"/>
        <v>-74.21889025468516</v>
      </c>
      <c r="J32" s="72">
        <f>AVERAGE(I30:I32)</f>
        <v>-76.90315474771273</v>
      </c>
      <c r="K32" s="72">
        <f>STDEV(I30:I32)</f>
        <v>2.956500877278583</v>
      </c>
    </row>
    <row r="33" spans="1:9" ht="15.75">
      <c r="A33" s="65"/>
      <c r="B33" s="30"/>
      <c r="C33" s="30">
        <v>19</v>
      </c>
      <c r="D33" s="67">
        <f>FND!D33</f>
        <v>0.5827</v>
      </c>
      <c r="E33" s="67">
        <f>FND!I33</f>
        <v>0.5410444177671069</v>
      </c>
      <c r="F33" s="31"/>
      <c r="G33" s="68">
        <f t="shared" si="0"/>
        <v>-101.35510942874292</v>
      </c>
      <c r="H33" s="69">
        <f>FND!M33</f>
        <v>0</v>
      </c>
      <c r="I33" s="75">
        <f t="shared" si="1"/>
        <v>-101.35510942874292</v>
      </c>
    </row>
    <row r="34" spans="1:9" ht="15.75">
      <c r="A34" s="65"/>
      <c r="B34" s="30"/>
      <c r="C34" s="30">
        <v>20</v>
      </c>
      <c r="D34" s="67">
        <f>FND!D34</f>
        <v>0.5768</v>
      </c>
      <c r="E34" s="67">
        <f>FND!I34</f>
        <v>0.5427827130852341</v>
      </c>
      <c r="F34" s="31"/>
      <c r="G34" s="68">
        <f t="shared" si="0"/>
        <v>-100.0075512787524</v>
      </c>
      <c r="H34" s="69">
        <f>FND!M34</f>
        <v>0</v>
      </c>
      <c r="I34" s="75">
        <f t="shared" si="1"/>
        <v>-100.0075512787524</v>
      </c>
    </row>
    <row r="35" spans="1:11" ht="15.75">
      <c r="A35" s="65"/>
      <c r="B35" s="30"/>
      <c r="C35" s="30">
        <v>21</v>
      </c>
      <c r="D35" s="67">
        <f>FND!D35</f>
        <v>0.562</v>
      </c>
      <c r="E35" s="67">
        <f>FND!I35</f>
        <v>0.5422394957983193</v>
      </c>
      <c r="F35" s="31"/>
      <c r="G35" s="68">
        <f t="shared" si="0"/>
        <v>-97.53909398846484</v>
      </c>
      <c r="H35" s="69">
        <f>FND!M35</f>
        <v>0</v>
      </c>
      <c r="I35" s="75">
        <f t="shared" si="1"/>
        <v>-97.53909398846484</v>
      </c>
      <c r="J35" s="72">
        <f>AVERAGE(I33:I35)</f>
        <v>-99.63391823198673</v>
      </c>
      <c r="K35" s="72">
        <f>STDEV(I33:I35)</f>
        <v>1.9352505523411507</v>
      </c>
    </row>
    <row r="36" spans="1:9" ht="15.75">
      <c r="A36" s="65"/>
      <c r="B36" s="30"/>
      <c r="C36" s="30">
        <v>22</v>
      </c>
      <c r="D36" s="67">
        <f>FND!D36</f>
        <v>0</v>
      </c>
      <c r="E36" s="67">
        <f>FND!I36</f>
        <v>0</v>
      </c>
      <c r="F36" s="31"/>
      <c r="G36" s="68" t="e">
        <f>+(F36-(D36*$G$43))*100/E36</f>
        <v>#DIV/0!</v>
      </c>
      <c r="H36" s="69">
        <f>FND!M36</f>
        <v>0</v>
      </c>
      <c r="I36" s="75" t="e">
        <f>G36-H36</f>
        <v>#DIV/0!</v>
      </c>
    </row>
    <row r="37" spans="1:9" ht="15.75">
      <c r="A37" s="65"/>
      <c r="B37" s="30"/>
      <c r="C37" s="30">
        <v>23</v>
      </c>
      <c r="D37" s="67">
        <f>FND!D37</f>
        <v>0</v>
      </c>
      <c r="E37" s="67">
        <f>FND!I37</f>
        <v>0</v>
      </c>
      <c r="F37" s="31"/>
      <c r="G37" s="68" t="e">
        <f>+(F37-(D37*$G$43))*100/E37</f>
        <v>#DIV/0!</v>
      </c>
      <c r="H37" s="69">
        <f>FND!M37</f>
        <v>0</v>
      </c>
      <c r="I37" s="75" t="e">
        <f>G37-H37</f>
        <v>#DIV/0!</v>
      </c>
    </row>
    <row r="38" spans="1:11" ht="15.75">
      <c r="A38" s="65"/>
      <c r="B38" s="30"/>
      <c r="C38" s="30">
        <v>24</v>
      </c>
      <c r="D38" s="67">
        <f>FND!D38</f>
        <v>0</v>
      </c>
      <c r="E38" s="67">
        <f>FND!I38</f>
        <v>0</v>
      </c>
      <c r="F38" s="31"/>
      <c r="G38" s="68" t="e">
        <f t="shared" si="0"/>
        <v>#DIV/0!</v>
      </c>
      <c r="H38" s="69">
        <f>FND!M38</f>
        <v>0</v>
      </c>
      <c r="I38" s="75" t="e">
        <f t="shared" si="1"/>
        <v>#DIV/0!</v>
      </c>
      <c r="J38" s="72" t="e">
        <f>AVERAGE(I36:I38)</f>
        <v>#DIV/0!</v>
      </c>
      <c r="K38" s="72" t="e">
        <f>STDEV(I36:I38)</f>
        <v>#DIV/0!</v>
      </c>
    </row>
    <row r="40" spans="2:7" ht="15.75">
      <c r="B40" s="55"/>
      <c r="C40" s="55"/>
      <c r="D40" s="56" t="s">
        <v>14</v>
      </c>
      <c r="E40" s="57"/>
      <c r="F40" s="58" t="s">
        <v>15</v>
      </c>
      <c r="G40" s="59" t="s">
        <v>16</v>
      </c>
    </row>
    <row r="41" spans="1:7" ht="15.75">
      <c r="A41" s="35"/>
      <c r="B41" s="36" t="s">
        <v>12</v>
      </c>
      <c r="C41" s="26">
        <v>23</v>
      </c>
      <c r="D41" s="28">
        <f>FND!D62</f>
        <v>0.5789</v>
      </c>
      <c r="E41" s="39"/>
      <c r="F41" s="28">
        <v>0.5448</v>
      </c>
      <c r="G41" s="28">
        <f>F41/D41</f>
        <v>0.9410951805147694</v>
      </c>
    </row>
    <row r="42" spans="1:7" ht="15.75">
      <c r="A42" s="35"/>
      <c r="B42" s="36" t="s">
        <v>12</v>
      </c>
      <c r="C42" s="30">
        <v>24</v>
      </c>
      <c r="D42" s="32"/>
      <c r="E42" s="39"/>
      <c r="F42" s="32"/>
      <c r="G42" s="28" t="e">
        <f>F42/D42</f>
        <v>#DIV/0!</v>
      </c>
    </row>
    <row r="43" spans="2:7" ht="15.75">
      <c r="B43" s="37"/>
      <c r="C43" s="37"/>
      <c r="D43" s="37"/>
      <c r="E43" s="37"/>
      <c r="F43" s="37"/>
      <c r="G43" s="38">
        <f>G41</f>
        <v>0.9410951805147694</v>
      </c>
    </row>
    <row r="44" ht="15.75">
      <c r="A44" s="34"/>
    </row>
    <row r="47" ht="12.75">
      <c r="A47" s="37"/>
    </row>
  </sheetData>
  <sheetProtection/>
  <printOptions horizontalCentered="1" verticalCentered="1"/>
  <pageMargins left="0.25" right="0.25" top="0.5" bottom="0.27" header="0.5" footer="0.36"/>
  <pageSetup fitToHeight="1" fitToWidth="1" horizontalDpi="600" verticalDpi="600" orientation="landscape" scale="85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 Name,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Kelley</dc:creator>
  <cp:keywords/>
  <dc:description/>
  <cp:lastModifiedBy>Microsoft Office User</cp:lastModifiedBy>
  <cp:lastPrinted>2005-04-20T13:49:58Z</cp:lastPrinted>
  <dcterms:created xsi:type="dcterms:W3CDTF">2004-12-28T21:34:41Z</dcterms:created>
  <dcterms:modified xsi:type="dcterms:W3CDTF">2022-12-09T11:27:51Z</dcterms:modified>
  <cp:category/>
  <cp:version/>
  <cp:contentType/>
  <cp:contentStatus/>
</cp:coreProperties>
</file>